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euroinvestor.sharepoint.com/sites/KommercielleBoliga/Delte dokumenter/Kommercielle produkter/MG-2022/Lister Bo/"/>
    </mc:Choice>
  </mc:AlternateContent>
  <xr:revisionPtr revIDLastSave="0" documentId="8_{1981B5AD-049F-467C-BE2B-F61E0066559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lukkede aftaler_EDC" sheetId="9" r:id="rId1"/>
    <sheet name="lukkede aftaler_Realmæglerne" sheetId="10" r:id="rId2"/>
    <sheet name="lukkede aftaler_Alle andre" sheetId="11" r:id="rId3"/>
    <sheet name="lukkede aftaler_HOME" sheetId="12" r:id="rId4"/>
    <sheet name="lukkede aftaler_Lokalbolig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13" l="1"/>
  <c r="AB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45" i="13"/>
  <c r="AC44" i="13"/>
  <c r="AB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44" i="13"/>
  <c r="AC43" i="13"/>
  <c r="AB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43" i="13"/>
  <c r="AC42" i="13"/>
  <c r="AB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42" i="13"/>
  <c r="AC41" i="13"/>
  <c r="AB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41" i="13"/>
  <c r="AC40" i="13"/>
  <c r="AB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AC39" i="13"/>
  <c r="AB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39" i="13"/>
  <c r="AC38" i="13"/>
  <c r="AB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38" i="13"/>
  <c r="AC37" i="13"/>
  <c r="AB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37" i="13"/>
  <c r="AC36" i="13"/>
  <c r="AB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36" i="13"/>
  <c r="AC35" i="13"/>
  <c r="AB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35" i="13"/>
  <c r="AC34" i="13"/>
  <c r="AB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34" i="13"/>
  <c r="AC33" i="13"/>
  <c r="AB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33" i="13"/>
  <c r="AC32" i="13"/>
  <c r="AB32" i="13"/>
  <c r="Y32" i="13"/>
  <c r="Q32" i="13"/>
  <c r="K32" i="13"/>
  <c r="J32" i="13"/>
  <c r="I32" i="13"/>
  <c r="H32" i="13"/>
  <c r="G32" i="13"/>
  <c r="F32" i="13"/>
  <c r="E32" i="13"/>
  <c r="D32" i="13"/>
  <c r="C32" i="13"/>
  <c r="B32" i="13"/>
  <c r="A32" i="13"/>
  <c r="AC31" i="13"/>
  <c r="AB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31" i="13"/>
  <c r="AC30" i="13"/>
  <c r="AB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30" i="13"/>
  <c r="AC29" i="13"/>
  <c r="AB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AC28" i="13"/>
  <c r="AB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28" i="13"/>
  <c r="AC27" i="13"/>
  <c r="AB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27" i="13"/>
  <c r="AC26" i="13"/>
  <c r="AB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26" i="13"/>
  <c r="AC25" i="13"/>
  <c r="AB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25" i="13"/>
  <c r="AC24" i="13"/>
  <c r="AB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24" i="13"/>
  <c r="AC23" i="13"/>
  <c r="AB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23" i="13"/>
  <c r="AC22" i="13"/>
  <c r="AB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22" i="13"/>
  <c r="AC21" i="13"/>
  <c r="AB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21" i="13"/>
  <c r="AC20" i="13"/>
  <c r="AB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20" i="13"/>
  <c r="AC19" i="13"/>
  <c r="AB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C18" i="13"/>
  <c r="AB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C17" i="13"/>
  <c r="AB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17" i="13"/>
  <c r="AC16" i="13"/>
  <c r="AB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C15" i="13"/>
  <c r="AB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C14" i="13"/>
  <c r="AB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C13" i="13"/>
  <c r="AB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C12" i="13"/>
  <c r="AB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C11" i="13"/>
  <c r="AB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11" i="13"/>
  <c r="AC10" i="13"/>
  <c r="AB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C9" i="13"/>
  <c r="AB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9" i="13"/>
  <c r="AC8" i="13"/>
  <c r="AB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AC7" i="13"/>
  <c r="AB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AC6" i="13"/>
  <c r="AB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6" i="13"/>
  <c r="AC5" i="13"/>
  <c r="AB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5" i="13"/>
  <c r="AC4" i="13"/>
  <c r="AB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AC3" i="13"/>
  <c r="AB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A3" i="13"/>
  <c r="AC2" i="13"/>
  <c r="AB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F86" i="12"/>
  <c r="E86" i="12"/>
  <c r="B86" i="12"/>
  <c r="A86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F85" i="12"/>
  <c r="E85" i="12"/>
  <c r="B85" i="12"/>
  <c r="A85" i="12"/>
  <c r="AC84" i="12"/>
  <c r="AB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A84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F83" i="12"/>
  <c r="E83" i="12"/>
  <c r="B83" i="12"/>
  <c r="A83" i="12"/>
  <c r="AC82" i="12"/>
  <c r="AB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A82" i="12"/>
  <c r="AC81" i="12"/>
  <c r="AB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B81" i="12"/>
  <c r="A81" i="12"/>
  <c r="AC80" i="12"/>
  <c r="AB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A80" i="12"/>
  <c r="AC79" i="12"/>
  <c r="AB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79" i="12"/>
  <c r="AC78" i="12"/>
  <c r="AB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A78" i="12"/>
  <c r="AC77" i="12"/>
  <c r="AB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77" i="12"/>
  <c r="AC76" i="12"/>
  <c r="AB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A76" i="12"/>
  <c r="AC75" i="12"/>
  <c r="AB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A75" i="12"/>
  <c r="AC74" i="12"/>
  <c r="AB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A74" i="12"/>
  <c r="AC73" i="12"/>
  <c r="AB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A73" i="12"/>
  <c r="AC72" i="12"/>
  <c r="AB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A72" i="12"/>
  <c r="AC71" i="12"/>
  <c r="AB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A71" i="12"/>
  <c r="AC70" i="12"/>
  <c r="AB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A70" i="12"/>
  <c r="AC69" i="12"/>
  <c r="AB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A69" i="12"/>
  <c r="AC68" i="12"/>
  <c r="AB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68" i="12"/>
  <c r="AC67" i="12"/>
  <c r="AB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A67" i="12"/>
  <c r="AC66" i="12"/>
  <c r="AB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A66" i="12"/>
  <c r="AC65" i="12"/>
  <c r="AB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A65" i="12"/>
  <c r="AC64" i="12"/>
  <c r="AB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4" i="12"/>
  <c r="AC63" i="12"/>
  <c r="AB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AC62" i="12"/>
  <c r="AB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AB61" i="12"/>
  <c r="Y61" i="12"/>
  <c r="Q61" i="12"/>
  <c r="P61" i="12"/>
  <c r="O61" i="12"/>
  <c r="K61" i="12"/>
  <c r="J61" i="12"/>
  <c r="I61" i="12"/>
  <c r="H61" i="12"/>
  <c r="G61" i="12"/>
  <c r="F61" i="12"/>
  <c r="E61" i="12"/>
  <c r="D61" i="12"/>
  <c r="C61" i="12"/>
  <c r="B61" i="12"/>
  <c r="A61" i="12"/>
  <c r="AC60" i="12"/>
  <c r="AB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AC59" i="12"/>
  <c r="AB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AC58" i="12"/>
  <c r="AB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AC57" i="12"/>
  <c r="AB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AC56" i="12"/>
  <c r="AB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AC55" i="12"/>
  <c r="AB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AC54" i="12"/>
  <c r="AB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AC53" i="12"/>
  <c r="AB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AC52" i="12"/>
  <c r="AB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AC51" i="12"/>
  <c r="AB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51" i="12"/>
  <c r="AC50" i="12"/>
  <c r="AB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AC49" i="12"/>
  <c r="AB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AC48" i="12"/>
  <c r="AB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AC47" i="12"/>
  <c r="AB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47" i="12"/>
  <c r="AC46" i="12"/>
  <c r="AB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46" i="12"/>
  <c r="AC45" i="12"/>
  <c r="AB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AC44" i="12"/>
  <c r="AB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AC43" i="12"/>
  <c r="AB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43" i="12"/>
  <c r="AC42" i="12"/>
  <c r="AB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42" i="12"/>
  <c r="AC41" i="12"/>
  <c r="AB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AC40" i="12"/>
  <c r="AB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AC39" i="12"/>
  <c r="AB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AC38" i="12"/>
  <c r="AB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AC37" i="12"/>
  <c r="AB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AC36" i="12"/>
  <c r="AB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AC35" i="12"/>
  <c r="AB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AC34" i="12"/>
  <c r="AB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AC33" i="12"/>
  <c r="AB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AC32" i="12"/>
  <c r="AB32" i="12"/>
  <c r="Y32" i="12"/>
  <c r="Q32" i="12"/>
  <c r="H32" i="12"/>
  <c r="G32" i="12"/>
  <c r="F32" i="12"/>
  <c r="E32" i="12"/>
  <c r="D32" i="12"/>
  <c r="C32" i="12"/>
  <c r="B32" i="12"/>
  <c r="AC31" i="12"/>
  <c r="AB31" i="12"/>
  <c r="Y31" i="12"/>
  <c r="Q31" i="12"/>
  <c r="H31" i="12"/>
  <c r="G31" i="12"/>
  <c r="F31" i="12"/>
  <c r="E31" i="12"/>
  <c r="D31" i="12"/>
  <c r="C31" i="12"/>
  <c r="B31" i="12"/>
  <c r="AC30" i="12"/>
  <c r="AB30" i="12"/>
  <c r="Y30" i="12"/>
  <c r="Q30" i="12"/>
  <c r="H30" i="12"/>
  <c r="G30" i="12"/>
  <c r="F30" i="12"/>
  <c r="E30" i="12"/>
  <c r="D30" i="12"/>
  <c r="C30" i="12"/>
  <c r="B30" i="12"/>
  <c r="AC29" i="12"/>
  <c r="AB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AC28" i="12"/>
  <c r="AB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AC27" i="12"/>
  <c r="AB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AC26" i="12"/>
  <c r="AB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AC25" i="12"/>
  <c r="AB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AC24" i="12"/>
  <c r="AB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C23" i="12"/>
  <c r="AB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AC22" i="12"/>
  <c r="AB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AC21" i="12"/>
  <c r="AB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AC20" i="12"/>
  <c r="AB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AC19" i="12"/>
  <c r="AB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C18" i="12"/>
  <c r="AB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C17" i="12"/>
  <c r="AB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AC16" i="12"/>
  <c r="AB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C15" i="12"/>
  <c r="AB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C14" i="12"/>
  <c r="AB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C13" i="12"/>
  <c r="AB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C12" i="12"/>
  <c r="AB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C11" i="12"/>
  <c r="AB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AC10" i="12"/>
  <c r="AB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C9" i="12"/>
  <c r="AB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AC8" i="12"/>
  <c r="AB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C7" i="12"/>
  <c r="AB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C6" i="12"/>
  <c r="AB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AC5" i="12"/>
  <c r="AB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C4" i="12"/>
  <c r="AB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C3" i="12"/>
  <c r="AB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AC2" i="12"/>
  <c r="AB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C186" i="11"/>
  <c r="AB186" i="11"/>
  <c r="Y186" i="11"/>
  <c r="Q186" i="11"/>
  <c r="P186" i="11"/>
  <c r="O186" i="11"/>
  <c r="K186" i="11"/>
  <c r="J186" i="11"/>
  <c r="I186" i="11"/>
  <c r="H186" i="11"/>
  <c r="G186" i="11"/>
  <c r="F186" i="11"/>
  <c r="E186" i="11"/>
  <c r="D186" i="11"/>
  <c r="C186" i="11"/>
  <c r="B186" i="11"/>
  <c r="A186" i="11"/>
  <c r="AB185" i="11"/>
  <c r="Y185" i="11"/>
  <c r="Q185" i="11"/>
  <c r="P185" i="11"/>
  <c r="O185" i="11"/>
  <c r="K185" i="11"/>
  <c r="J185" i="11"/>
  <c r="I185" i="11"/>
  <c r="H185" i="11"/>
  <c r="G185" i="11"/>
  <c r="F185" i="11"/>
  <c r="B185" i="11"/>
  <c r="A185" i="11"/>
  <c r="AC184" i="11"/>
  <c r="AB184" i="11"/>
  <c r="Y184" i="11"/>
  <c r="Q184" i="11"/>
  <c r="P184" i="11"/>
  <c r="O184" i="11"/>
  <c r="K184" i="11"/>
  <c r="J184" i="11"/>
  <c r="I184" i="11"/>
  <c r="H184" i="11"/>
  <c r="G184" i="11"/>
  <c r="F184" i="11"/>
  <c r="E184" i="11"/>
  <c r="D184" i="11"/>
  <c r="C184" i="11"/>
  <c r="B184" i="11"/>
  <c r="A184" i="11"/>
  <c r="AC183" i="11"/>
  <c r="AB183" i="11"/>
  <c r="Y183" i="11"/>
  <c r="P183" i="11"/>
  <c r="O183" i="11"/>
  <c r="K183" i="11"/>
  <c r="J183" i="11"/>
  <c r="I183" i="11"/>
  <c r="H183" i="11"/>
  <c r="G183" i="11"/>
  <c r="F183" i="11"/>
  <c r="E183" i="11"/>
  <c r="B183" i="11"/>
  <c r="A183" i="11"/>
  <c r="AB182" i="11"/>
  <c r="Y182" i="11"/>
  <c r="Q182" i="11"/>
  <c r="P182" i="11"/>
  <c r="K182" i="11"/>
  <c r="J182" i="11"/>
  <c r="I182" i="11"/>
  <c r="H182" i="11"/>
  <c r="G182" i="11"/>
  <c r="F182" i="11"/>
  <c r="E182" i="11"/>
  <c r="B182" i="11"/>
  <c r="A182" i="11"/>
  <c r="AC181" i="11"/>
  <c r="AB181" i="11"/>
  <c r="Y181" i="11"/>
  <c r="Q181" i="11"/>
  <c r="K181" i="11"/>
  <c r="J181" i="11"/>
  <c r="I181" i="11"/>
  <c r="H181" i="11"/>
  <c r="G181" i="11"/>
  <c r="F181" i="11"/>
  <c r="E181" i="11"/>
  <c r="D181" i="11"/>
  <c r="C181" i="11"/>
  <c r="B181" i="11"/>
  <c r="A181" i="11"/>
  <c r="AC180" i="11"/>
  <c r="AB180" i="11"/>
  <c r="Y180" i="11"/>
  <c r="X180" i="11"/>
  <c r="W180" i="11"/>
  <c r="V180" i="11"/>
  <c r="U180" i="11"/>
  <c r="T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B180" i="11"/>
  <c r="A180" i="11"/>
  <c r="AC179" i="11"/>
  <c r="AB179" i="11"/>
  <c r="Y179" i="11"/>
  <c r="X179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B179" i="11"/>
  <c r="A179" i="11"/>
  <c r="AC178" i="11"/>
  <c r="AB178" i="11"/>
  <c r="Y178" i="11"/>
  <c r="X178" i="11"/>
  <c r="W178" i="11"/>
  <c r="V178" i="11"/>
  <c r="U178" i="11"/>
  <c r="T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D178" i="11"/>
  <c r="C178" i="11"/>
  <c r="B178" i="11"/>
  <c r="A178" i="11"/>
  <c r="AC177" i="11"/>
  <c r="AB177" i="11"/>
  <c r="Y177" i="11"/>
  <c r="X177" i="11"/>
  <c r="W177" i="11"/>
  <c r="V177" i="11"/>
  <c r="U177" i="11"/>
  <c r="T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B177" i="11"/>
  <c r="A177" i="11"/>
  <c r="AC176" i="11"/>
  <c r="AB176" i="11"/>
  <c r="Y176" i="11"/>
  <c r="X176" i="11"/>
  <c r="W176" i="11"/>
  <c r="V176" i="11"/>
  <c r="U176" i="11"/>
  <c r="T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B176" i="11"/>
  <c r="A176" i="11"/>
  <c r="AC175" i="11"/>
  <c r="AB175" i="11"/>
  <c r="Y175" i="11"/>
  <c r="X175" i="11"/>
  <c r="W175" i="11"/>
  <c r="V175" i="11"/>
  <c r="U175" i="11"/>
  <c r="T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C175" i="11"/>
  <c r="B175" i="11"/>
  <c r="A175" i="11"/>
  <c r="AC174" i="11"/>
  <c r="AB174" i="11"/>
  <c r="Y174" i="11"/>
  <c r="X174" i="11"/>
  <c r="W174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B174" i="11"/>
  <c r="A174" i="11"/>
  <c r="AC173" i="11"/>
  <c r="AB173" i="11"/>
  <c r="Y173" i="11"/>
  <c r="X173" i="11"/>
  <c r="W173" i="11"/>
  <c r="V173" i="11"/>
  <c r="U173" i="11"/>
  <c r="T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B173" i="11"/>
  <c r="A173" i="11"/>
  <c r="AC172" i="11"/>
  <c r="AB172" i="11"/>
  <c r="Y172" i="11"/>
  <c r="X172" i="11"/>
  <c r="W172" i="11"/>
  <c r="V172" i="11"/>
  <c r="U172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C172" i="11"/>
  <c r="B172" i="11"/>
  <c r="A172" i="11"/>
  <c r="AC171" i="11"/>
  <c r="AB171" i="11"/>
  <c r="Y171" i="11"/>
  <c r="X171" i="11"/>
  <c r="W171" i="11"/>
  <c r="V171" i="11"/>
  <c r="U171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D171" i="11"/>
  <c r="C171" i="11"/>
  <c r="B171" i="11"/>
  <c r="A171" i="11"/>
  <c r="AC170" i="11"/>
  <c r="AB170" i="11"/>
  <c r="Y170" i="11"/>
  <c r="X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B170" i="11"/>
  <c r="A170" i="11"/>
  <c r="AC169" i="11"/>
  <c r="AB169" i="11"/>
  <c r="Y169" i="11"/>
  <c r="X169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B169" i="11"/>
  <c r="A169" i="11"/>
  <c r="AC168" i="11"/>
  <c r="AB168" i="11"/>
  <c r="Y168" i="11"/>
  <c r="X168" i="11"/>
  <c r="W168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C168" i="11"/>
  <c r="B168" i="11"/>
  <c r="A168" i="11"/>
  <c r="AC167" i="11"/>
  <c r="AB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B167" i="11"/>
  <c r="A167" i="11"/>
  <c r="AC166" i="11"/>
  <c r="AB166" i="11"/>
  <c r="Y166" i="11"/>
  <c r="X166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B166" i="11"/>
  <c r="A166" i="11"/>
  <c r="AC165" i="11"/>
  <c r="AB165" i="11"/>
  <c r="Y165" i="11"/>
  <c r="X165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B165" i="11"/>
  <c r="A165" i="11"/>
  <c r="AC164" i="11"/>
  <c r="AB164" i="11"/>
  <c r="Y164" i="11"/>
  <c r="X164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C164" i="11"/>
  <c r="B164" i="11"/>
  <c r="A164" i="11"/>
  <c r="AC163" i="11"/>
  <c r="AB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B163" i="11"/>
  <c r="A163" i="11"/>
  <c r="AC162" i="11"/>
  <c r="AB162" i="11"/>
  <c r="Y162" i="11"/>
  <c r="Q162" i="11"/>
  <c r="H162" i="11"/>
  <c r="G162" i="11"/>
  <c r="F162" i="11"/>
  <c r="E162" i="11"/>
  <c r="D162" i="11"/>
  <c r="C162" i="11"/>
  <c r="B162" i="11"/>
  <c r="A162" i="11"/>
  <c r="AC161" i="11"/>
  <c r="AB161" i="11"/>
  <c r="Y161" i="11"/>
  <c r="X161" i="11"/>
  <c r="W161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B161" i="11"/>
  <c r="A161" i="11"/>
  <c r="AC160" i="11"/>
  <c r="AB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B160" i="11"/>
  <c r="A160" i="11"/>
  <c r="AC159" i="11"/>
  <c r="AB159" i="11"/>
  <c r="Y159" i="11"/>
  <c r="X159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C159" i="11"/>
  <c r="B159" i="11"/>
  <c r="A159" i="11"/>
  <c r="AC158" i="11"/>
  <c r="AB158" i="11"/>
  <c r="Y158" i="11"/>
  <c r="X158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B158" i="11"/>
  <c r="A158" i="11"/>
  <c r="AC157" i="11"/>
  <c r="AB157" i="11"/>
  <c r="Y157" i="11"/>
  <c r="X157" i="11"/>
  <c r="W157" i="11"/>
  <c r="V157" i="11"/>
  <c r="U157" i="11"/>
  <c r="T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B157" i="11"/>
  <c r="A157" i="11"/>
  <c r="AC156" i="11"/>
  <c r="AB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C156" i="11"/>
  <c r="B156" i="11"/>
  <c r="A156" i="11"/>
  <c r="AC155" i="11"/>
  <c r="AB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C155" i="11"/>
  <c r="B155" i="11"/>
  <c r="A155" i="11"/>
  <c r="AC154" i="11"/>
  <c r="AB154" i="11"/>
  <c r="Y154" i="11"/>
  <c r="X154" i="11"/>
  <c r="W154" i="11"/>
  <c r="V154" i="11"/>
  <c r="U154" i="11"/>
  <c r="T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C154" i="11"/>
  <c r="B154" i="11"/>
  <c r="A154" i="11"/>
  <c r="AC153" i="11"/>
  <c r="AB153" i="11"/>
  <c r="Y153" i="11"/>
  <c r="X153" i="11"/>
  <c r="W153" i="11"/>
  <c r="V153" i="11"/>
  <c r="U153" i="1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B153" i="11"/>
  <c r="A153" i="11"/>
  <c r="AC152" i="11"/>
  <c r="AB152" i="11"/>
  <c r="Y152" i="11"/>
  <c r="X152" i="11"/>
  <c r="W152" i="11"/>
  <c r="V152" i="11"/>
  <c r="U152" i="11"/>
  <c r="T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B152" i="11"/>
  <c r="A152" i="11"/>
  <c r="AC151" i="11"/>
  <c r="AB151" i="11"/>
  <c r="Y151" i="11"/>
  <c r="X151" i="11"/>
  <c r="W151" i="11"/>
  <c r="V151" i="11"/>
  <c r="U151" i="11"/>
  <c r="T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B151" i="11"/>
  <c r="A151" i="11"/>
  <c r="AC150" i="11"/>
  <c r="AB150" i="11"/>
  <c r="Y150" i="11"/>
  <c r="X150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B150" i="11"/>
  <c r="A150" i="11"/>
  <c r="AC149" i="11"/>
  <c r="AB149" i="11"/>
  <c r="Y149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B149" i="11"/>
  <c r="A149" i="11"/>
  <c r="AC148" i="11"/>
  <c r="AB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B148" i="11"/>
  <c r="AC147" i="11"/>
  <c r="AB147" i="11"/>
  <c r="Y147" i="11"/>
  <c r="X147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B147" i="11"/>
  <c r="A147" i="11"/>
  <c r="AC146" i="11"/>
  <c r="AB146" i="11"/>
  <c r="Y146" i="11"/>
  <c r="X146" i="11"/>
  <c r="W146" i="11"/>
  <c r="V146" i="11"/>
  <c r="U146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C146" i="11"/>
  <c r="B146" i="11"/>
  <c r="A146" i="11"/>
  <c r="AC145" i="11"/>
  <c r="AB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B145" i="11"/>
  <c r="A145" i="11"/>
  <c r="AC144" i="11"/>
  <c r="AB144" i="11"/>
  <c r="Y144" i="11"/>
  <c r="X144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C144" i="11"/>
  <c r="B144" i="11"/>
  <c r="A144" i="11"/>
  <c r="AC143" i="11"/>
  <c r="AB143" i="11"/>
  <c r="Y143" i="11"/>
  <c r="X143" i="11"/>
  <c r="W143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D143" i="11"/>
  <c r="C143" i="11"/>
  <c r="B143" i="11"/>
  <c r="A143" i="11"/>
  <c r="AC142" i="11"/>
  <c r="AB142" i="11"/>
  <c r="Y142" i="11"/>
  <c r="X142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C142" i="11"/>
  <c r="B142" i="11"/>
  <c r="A142" i="11"/>
  <c r="AC141" i="11"/>
  <c r="AB141" i="11"/>
  <c r="Y141" i="11"/>
  <c r="X141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B141" i="11"/>
  <c r="A141" i="11"/>
  <c r="AC140" i="11"/>
  <c r="AB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C140" i="11"/>
  <c r="B140" i="11"/>
  <c r="A140" i="11"/>
  <c r="AC139" i="11"/>
  <c r="AB139" i="11"/>
  <c r="Y139" i="11"/>
  <c r="X139" i="11"/>
  <c r="W139" i="11"/>
  <c r="V139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D139" i="11"/>
  <c r="C139" i="11"/>
  <c r="B139" i="11"/>
  <c r="A139" i="11"/>
  <c r="AC138" i="11"/>
  <c r="AB138" i="11"/>
  <c r="Y138" i="11"/>
  <c r="X138" i="11"/>
  <c r="W138" i="11"/>
  <c r="V138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C138" i="11"/>
  <c r="B138" i="11"/>
  <c r="A138" i="11"/>
  <c r="AC137" i="11"/>
  <c r="AB137" i="11"/>
  <c r="Y137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B137" i="11"/>
  <c r="A137" i="11"/>
  <c r="AC136" i="11"/>
  <c r="AB136" i="11"/>
  <c r="Y136" i="11"/>
  <c r="X136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D136" i="11"/>
  <c r="C136" i="11"/>
  <c r="B136" i="11"/>
  <c r="A136" i="11"/>
  <c r="AC135" i="11"/>
  <c r="AB135" i="11"/>
  <c r="Y135" i="11"/>
  <c r="X135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C135" i="11"/>
  <c r="B135" i="11"/>
  <c r="A135" i="11"/>
  <c r="AC134" i="11"/>
  <c r="AB134" i="11"/>
  <c r="Y134" i="11"/>
  <c r="Q134" i="11"/>
  <c r="P134" i="11"/>
  <c r="O134" i="11"/>
  <c r="K134" i="11"/>
  <c r="J134" i="11"/>
  <c r="I134" i="11"/>
  <c r="H134" i="11"/>
  <c r="G134" i="11"/>
  <c r="F134" i="11"/>
  <c r="E134" i="11"/>
  <c r="D134" i="11"/>
  <c r="C134" i="11"/>
  <c r="B134" i="11"/>
  <c r="A134" i="11"/>
  <c r="AC133" i="11"/>
  <c r="AB133" i="11"/>
  <c r="Y133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B133" i="11"/>
  <c r="A133" i="11"/>
  <c r="AC132" i="11"/>
  <c r="AB132" i="11"/>
  <c r="Y132" i="11"/>
  <c r="X132" i="11"/>
  <c r="W132" i="11"/>
  <c r="V132" i="11"/>
  <c r="U132" i="11"/>
  <c r="T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C132" i="11"/>
  <c r="B132" i="11"/>
  <c r="A132" i="11"/>
  <c r="AC131" i="11"/>
  <c r="AB131" i="11"/>
  <c r="Y131" i="11"/>
  <c r="X131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C131" i="11"/>
  <c r="B131" i="11"/>
  <c r="A131" i="11"/>
  <c r="AC130" i="11"/>
  <c r="AB130" i="11"/>
  <c r="Y130" i="11"/>
  <c r="X130" i="11"/>
  <c r="W130" i="11"/>
  <c r="V130" i="11"/>
  <c r="U130" i="11"/>
  <c r="T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C130" i="11"/>
  <c r="B130" i="11"/>
  <c r="A130" i="11"/>
  <c r="AC129" i="11"/>
  <c r="AB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B129" i="11"/>
  <c r="A129" i="11"/>
  <c r="AC128" i="11"/>
  <c r="AB128" i="11"/>
  <c r="Y128" i="11"/>
  <c r="X128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A128" i="11"/>
  <c r="AC127" i="11"/>
  <c r="AB127" i="11"/>
  <c r="Y127" i="11"/>
  <c r="X127" i="11"/>
  <c r="W127" i="11"/>
  <c r="V127" i="11"/>
  <c r="U127" i="11"/>
  <c r="T127" i="11"/>
  <c r="S127" i="11"/>
  <c r="R127" i="11"/>
  <c r="Q127" i="11"/>
  <c r="P127" i="11"/>
  <c r="N127" i="11"/>
  <c r="M127" i="11"/>
  <c r="K127" i="11"/>
  <c r="J127" i="11"/>
  <c r="I127" i="11"/>
  <c r="H127" i="11"/>
  <c r="G127" i="11"/>
  <c r="F127" i="11"/>
  <c r="E127" i="11"/>
  <c r="D127" i="11"/>
  <c r="C127" i="11"/>
  <c r="B127" i="11"/>
  <c r="A127" i="11"/>
  <c r="AC126" i="11"/>
  <c r="AB126" i="11"/>
  <c r="Y126" i="11"/>
  <c r="Q126" i="11"/>
  <c r="H126" i="11"/>
  <c r="G126" i="11"/>
  <c r="F126" i="11"/>
  <c r="E126" i="11"/>
  <c r="D126" i="11"/>
  <c r="C126" i="11"/>
  <c r="B126" i="11"/>
  <c r="A126" i="11"/>
  <c r="AC125" i="11"/>
  <c r="AB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B125" i="11"/>
  <c r="A125" i="11"/>
  <c r="AC124" i="11"/>
  <c r="AB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C124" i="11"/>
  <c r="B124" i="11"/>
  <c r="A124" i="11"/>
  <c r="AC123" i="11"/>
  <c r="AB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B123" i="11"/>
  <c r="A123" i="11"/>
  <c r="AC122" i="11"/>
  <c r="AB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B122" i="11"/>
  <c r="A122" i="11"/>
  <c r="AC121" i="11"/>
  <c r="AB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A121" i="11"/>
  <c r="AC120" i="11"/>
  <c r="AB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C120" i="11"/>
  <c r="B120" i="11"/>
  <c r="A120" i="11"/>
  <c r="AC119" i="11"/>
  <c r="AB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A119" i="11"/>
  <c r="AC118" i="11"/>
  <c r="AB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A118" i="11"/>
  <c r="AC117" i="11"/>
  <c r="AB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B117" i="11"/>
  <c r="A117" i="11"/>
  <c r="AC116" i="11"/>
  <c r="AB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C116" i="11"/>
  <c r="B116" i="11"/>
  <c r="A116" i="11"/>
  <c r="AC115" i="11"/>
  <c r="AB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B115" i="11"/>
  <c r="A115" i="11"/>
  <c r="AC114" i="11"/>
  <c r="AB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A114" i="11"/>
  <c r="AC113" i="11"/>
  <c r="AB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A113" i="11"/>
  <c r="AC112" i="11"/>
  <c r="AB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A112" i="11"/>
  <c r="AC111" i="11"/>
  <c r="AB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B111" i="11"/>
  <c r="A111" i="11"/>
  <c r="AC110" i="11"/>
  <c r="AB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B110" i="11"/>
  <c r="A110" i="11"/>
  <c r="AC109" i="11"/>
  <c r="AB109" i="11"/>
  <c r="Y109" i="11"/>
  <c r="X109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B109" i="11"/>
  <c r="A109" i="11"/>
  <c r="AC108" i="11"/>
  <c r="AB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A108" i="11"/>
  <c r="AC107" i="11"/>
  <c r="AB107" i="11"/>
  <c r="Y107" i="11"/>
  <c r="Q107" i="11"/>
  <c r="P107" i="11"/>
  <c r="O107" i="11"/>
  <c r="K107" i="11"/>
  <c r="J107" i="11"/>
  <c r="I107" i="11"/>
  <c r="H107" i="11"/>
  <c r="G107" i="11"/>
  <c r="F107" i="11"/>
  <c r="E107" i="11"/>
  <c r="D107" i="11"/>
  <c r="C107" i="11"/>
  <c r="B107" i="11"/>
  <c r="A107" i="11"/>
  <c r="AC106" i="11"/>
  <c r="AB106" i="11"/>
  <c r="Y106" i="11"/>
  <c r="Q106" i="11"/>
  <c r="P106" i="11"/>
  <c r="O106" i="11"/>
  <c r="K106" i="11"/>
  <c r="J106" i="11"/>
  <c r="I106" i="11"/>
  <c r="H106" i="11"/>
  <c r="G106" i="11"/>
  <c r="F106" i="11"/>
  <c r="E106" i="11"/>
  <c r="D106" i="11"/>
  <c r="C106" i="11"/>
  <c r="B106" i="11"/>
  <c r="A106" i="11"/>
  <c r="AC105" i="11"/>
  <c r="AB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A105" i="11"/>
  <c r="AC104" i="11"/>
  <c r="AB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A104" i="11"/>
  <c r="AC103" i="11"/>
  <c r="AB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A103" i="11"/>
  <c r="AC102" i="11"/>
  <c r="AB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A102" i="11"/>
  <c r="AC101" i="11"/>
  <c r="AB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A101" i="11"/>
  <c r="AC100" i="11"/>
  <c r="AB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A100" i="11"/>
  <c r="AC99" i="11"/>
  <c r="AB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A99" i="11"/>
  <c r="AC98" i="11"/>
  <c r="AB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A98" i="11"/>
  <c r="AC97" i="11"/>
  <c r="AB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A97" i="11"/>
  <c r="AC96" i="11"/>
  <c r="AB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A96" i="11"/>
  <c r="AC95" i="11"/>
  <c r="AB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A95" i="11"/>
  <c r="AC94" i="11"/>
  <c r="AB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94" i="11"/>
  <c r="A94" i="11"/>
  <c r="AC93" i="11"/>
  <c r="AB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A93" i="11"/>
  <c r="AC92" i="11"/>
  <c r="AB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A92" i="11"/>
  <c r="AC91" i="11"/>
  <c r="AB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B91" i="11"/>
  <c r="A91" i="11"/>
  <c r="AC90" i="11"/>
  <c r="AB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A90" i="11"/>
  <c r="AC89" i="11"/>
  <c r="AB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B89" i="11"/>
  <c r="A89" i="11"/>
  <c r="AC88" i="11"/>
  <c r="AB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B88" i="11"/>
  <c r="A88" i="11"/>
  <c r="AC87" i="11"/>
  <c r="AB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A87" i="11"/>
  <c r="AC86" i="11"/>
  <c r="AB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A86" i="11"/>
  <c r="AC85" i="11"/>
  <c r="AB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A85" i="11"/>
  <c r="AC84" i="11"/>
  <c r="AB84" i="11"/>
  <c r="Y84" i="11"/>
  <c r="Q84" i="11"/>
  <c r="K84" i="11"/>
  <c r="J84" i="11"/>
  <c r="H84" i="11"/>
  <c r="G84" i="11"/>
  <c r="F84" i="11"/>
  <c r="E84" i="11"/>
  <c r="D84" i="11"/>
  <c r="C84" i="11"/>
  <c r="B84" i="11"/>
  <c r="A84" i="11"/>
  <c r="AC83" i="11"/>
  <c r="AB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B83" i="11"/>
  <c r="A83" i="11"/>
  <c r="AC82" i="11"/>
  <c r="AB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A82" i="11"/>
  <c r="AC81" i="11"/>
  <c r="AB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A81" i="11"/>
  <c r="AC80" i="11"/>
  <c r="AB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A80" i="11"/>
  <c r="AC79" i="11"/>
  <c r="AB79" i="11"/>
  <c r="Y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A79" i="11"/>
  <c r="AC78" i="11"/>
  <c r="AB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A78" i="11"/>
  <c r="AC77" i="11"/>
  <c r="AB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B77" i="11"/>
  <c r="A77" i="11"/>
  <c r="AC76" i="11"/>
  <c r="AB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B76" i="11"/>
  <c r="A76" i="11"/>
  <c r="AC75" i="11"/>
  <c r="AB75" i="11"/>
  <c r="Y75" i="11"/>
  <c r="Q75" i="11"/>
  <c r="K75" i="11"/>
  <c r="J75" i="11"/>
  <c r="I75" i="11"/>
  <c r="H75" i="11"/>
  <c r="G75" i="11"/>
  <c r="F75" i="11"/>
  <c r="E75" i="11"/>
  <c r="D75" i="11"/>
  <c r="C75" i="11"/>
  <c r="B75" i="11"/>
  <c r="A75" i="11"/>
  <c r="AC74" i="11"/>
  <c r="AB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A74" i="11"/>
  <c r="AC73" i="11"/>
  <c r="AB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A73" i="11"/>
  <c r="AC72" i="11"/>
  <c r="AB72" i="11"/>
  <c r="Y72" i="11"/>
  <c r="X72" i="11"/>
  <c r="W72" i="11"/>
  <c r="V72" i="11"/>
  <c r="U72" i="11"/>
  <c r="T72" i="11"/>
  <c r="S72" i="11"/>
  <c r="R72" i="11"/>
  <c r="Q72" i="11"/>
  <c r="P72" i="11"/>
  <c r="O72" i="11"/>
  <c r="K72" i="11"/>
  <c r="J72" i="11"/>
  <c r="I72" i="11"/>
  <c r="H72" i="11"/>
  <c r="G72" i="11"/>
  <c r="F72" i="11"/>
  <c r="E72" i="11"/>
  <c r="D72" i="11"/>
  <c r="C72" i="11"/>
  <c r="B72" i="11"/>
  <c r="A72" i="11"/>
  <c r="AC71" i="11"/>
  <c r="AB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A71" i="11"/>
  <c r="AC70" i="11"/>
  <c r="AB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A70" i="11"/>
  <c r="AC69" i="11"/>
  <c r="AB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A69" i="11"/>
  <c r="AC68" i="11"/>
  <c r="AB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A68" i="11"/>
  <c r="AB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B67" i="11"/>
  <c r="A67" i="11"/>
  <c r="AC66" i="11"/>
  <c r="AB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A66" i="11"/>
  <c r="AC65" i="11"/>
  <c r="AB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A65" i="11"/>
  <c r="AC64" i="11"/>
  <c r="AB64" i="11"/>
  <c r="Y64" i="11"/>
  <c r="Q64" i="11"/>
  <c r="P64" i="11"/>
  <c r="O64" i="11"/>
  <c r="H64" i="11"/>
  <c r="G64" i="11"/>
  <c r="F64" i="11"/>
  <c r="E64" i="11"/>
  <c r="D64" i="11"/>
  <c r="C64" i="11"/>
  <c r="B64" i="11"/>
  <c r="A64" i="11"/>
  <c r="AC63" i="11"/>
  <c r="AB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C62" i="11"/>
  <c r="AB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C61" i="11"/>
  <c r="AB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C60" i="11"/>
  <c r="AB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C59" i="11"/>
  <c r="AB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C58" i="11"/>
  <c r="AB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C57" i="11"/>
  <c r="AB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C56" i="11"/>
  <c r="AB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C55" i="11"/>
  <c r="AB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C54" i="11"/>
  <c r="AB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C53" i="11"/>
  <c r="AB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C52" i="11"/>
  <c r="AB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C51" i="11"/>
  <c r="AB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C50" i="11"/>
  <c r="AB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C49" i="11"/>
  <c r="AB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C48" i="11"/>
  <c r="AB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C47" i="11"/>
  <c r="AB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C46" i="11"/>
  <c r="AB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C45" i="11"/>
  <c r="AB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C44" i="11"/>
  <c r="AB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C43" i="11"/>
  <c r="AB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C42" i="11"/>
  <c r="AB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C41" i="11"/>
  <c r="AB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C40" i="11"/>
  <c r="AB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C39" i="11"/>
  <c r="AB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C38" i="11"/>
  <c r="AB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C37" i="11"/>
  <c r="AB37" i="11"/>
  <c r="Y37" i="11"/>
  <c r="Q37" i="11"/>
  <c r="O37" i="11"/>
  <c r="K37" i="11"/>
  <c r="J37" i="11"/>
  <c r="I37" i="11"/>
  <c r="H37" i="11"/>
  <c r="G37" i="11"/>
  <c r="F37" i="11"/>
  <c r="E37" i="11"/>
  <c r="D37" i="11"/>
  <c r="C37" i="11"/>
  <c r="B37" i="11"/>
  <c r="A37" i="11"/>
  <c r="AC36" i="11"/>
  <c r="AB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C35" i="11"/>
  <c r="AB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C34" i="11"/>
  <c r="AB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C33" i="11"/>
  <c r="AB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C32" i="11"/>
  <c r="AB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C31" i="11"/>
  <c r="AB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C30" i="11"/>
  <c r="AB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C29" i="11"/>
  <c r="AB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C28" i="11"/>
  <c r="AB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C27" i="11"/>
  <c r="AB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C26" i="11"/>
  <c r="AB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C25" i="11"/>
  <c r="AB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C24" i="11"/>
  <c r="AB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F24" i="11"/>
  <c r="E24" i="11"/>
  <c r="B24" i="11"/>
  <c r="A24" i="11"/>
  <c r="AC23" i="11"/>
  <c r="AB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C22" i="11"/>
  <c r="AB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C21" i="11"/>
  <c r="AB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H21" i="11"/>
  <c r="G21" i="11"/>
  <c r="F21" i="11"/>
  <c r="E21" i="11"/>
  <c r="D21" i="11"/>
  <c r="C21" i="11"/>
  <c r="B21" i="11"/>
  <c r="A21" i="11"/>
  <c r="AC20" i="11"/>
  <c r="AB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C19" i="11"/>
  <c r="AB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C18" i="11"/>
  <c r="AB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C17" i="11"/>
  <c r="AB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G17" i="11"/>
  <c r="F17" i="11"/>
  <c r="E17" i="11"/>
  <c r="D17" i="11"/>
  <c r="C17" i="11"/>
  <c r="B17" i="11"/>
  <c r="A17" i="11"/>
  <c r="AC16" i="11"/>
  <c r="AB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C15" i="11"/>
  <c r="AB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C14" i="11"/>
  <c r="AB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C13" i="11"/>
  <c r="AB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C12" i="11"/>
  <c r="AB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C11" i="11"/>
  <c r="AB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H11" i="11"/>
  <c r="G11" i="11"/>
  <c r="F11" i="11"/>
  <c r="E11" i="11"/>
  <c r="D11" i="11"/>
  <c r="C11" i="11"/>
  <c r="B11" i="11"/>
  <c r="A11" i="11"/>
  <c r="AC10" i="11"/>
  <c r="AB10" i="11"/>
  <c r="Y10" i="11"/>
  <c r="P10" i="11"/>
  <c r="H10" i="11"/>
  <c r="G10" i="11"/>
  <c r="F10" i="11"/>
  <c r="E10" i="11"/>
  <c r="D10" i="11"/>
  <c r="C10" i="11"/>
  <c r="B10" i="11"/>
  <c r="A10" i="11"/>
  <c r="AC9" i="11"/>
  <c r="AB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C8" i="11"/>
  <c r="AB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C7" i="11"/>
  <c r="AB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C6" i="11"/>
  <c r="AB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C5" i="11"/>
  <c r="AB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C4" i="11"/>
  <c r="AB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C3" i="11"/>
  <c r="AB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AC2" i="11"/>
  <c r="AB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A2" i="11"/>
  <c r="AC63" i="10"/>
  <c r="AB63" i="10"/>
  <c r="Y63" i="10"/>
  <c r="Q63" i="10"/>
  <c r="M63" i="10"/>
  <c r="K63" i="10"/>
  <c r="J63" i="10"/>
  <c r="I63" i="10"/>
  <c r="H63" i="10"/>
  <c r="G63" i="10"/>
  <c r="F63" i="10"/>
  <c r="E63" i="10"/>
  <c r="D63" i="10"/>
  <c r="C63" i="10"/>
  <c r="B63" i="10"/>
  <c r="A63" i="10"/>
  <c r="AC62" i="10"/>
  <c r="AB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C61" i="10"/>
  <c r="AB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C60" i="10"/>
  <c r="AB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C59" i="10"/>
  <c r="AB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C58" i="10"/>
  <c r="AB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C57" i="10"/>
  <c r="AB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C56" i="10"/>
  <c r="AB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C55" i="10"/>
  <c r="AB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C54" i="10"/>
  <c r="AB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C53" i="10"/>
  <c r="AB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C52" i="10"/>
  <c r="AB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C51" i="10"/>
  <c r="AB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C50" i="10"/>
  <c r="AB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C49" i="10"/>
  <c r="AB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C48" i="10"/>
  <c r="AB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C47" i="10"/>
  <c r="AB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B47" i="10"/>
  <c r="A47" i="10"/>
  <c r="AC46" i="10"/>
  <c r="AB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C45" i="10"/>
  <c r="AB45" i="10"/>
  <c r="Y45" i="10"/>
  <c r="Q45" i="10"/>
  <c r="P45" i="10"/>
  <c r="O45" i="10"/>
  <c r="N45" i="10"/>
  <c r="M45" i="10"/>
  <c r="K45" i="10"/>
  <c r="J45" i="10"/>
  <c r="I45" i="10"/>
  <c r="H45" i="10"/>
  <c r="G45" i="10"/>
  <c r="F45" i="10"/>
  <c r="E45" i="10"/>
  <c r="D45" i="10"/>
  <c r="C45" i="10"/>
  <c r="B45" i="10"/>
  <c r="AC44" i="10"/>
  <c r="AB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C43" i="10"/>
  <c r="AB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C42" i="10"/>
  <c r="AB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C41" i="10"/>
  <c r="AB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C40" i="10"/>
  <c r="AB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C39" i="10"/>
  <c r="AB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C38" i="10"/>
  <c r="AB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C37" i="10"/>
  <c r="AB37" i="10"/>
  <c r="Y37" i="10"/>
  <c r="Q37" i="10"/>
  <c r="H37" i="10"/>
  <c r="G37" i="10"/>
  <c r="F37" i="10"/>
  <c r="E37" i="10"/>
  <c r="D37" i="10"/>
  <c r="C37" i="10"/>
  <c r="B37" i="10"/>
  <c r="A37" i="10"/>
  <c r="AC36" i="10"/>
  <c r="AB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C35" i="10"/>
  <c r="AB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C34" i="10"/>
  <c r="AB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C33" i="10"/>
  <c r="AB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C32" i="10"/>
  <c r="AB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C31" i="10"/>
  <c r="AB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C30" i="10"/>
  <c r="AB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C29" i="10"/>
  <c r="AB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C28" i="10"/>
  <c r="AB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C27" i="10"/>
  <c r="AB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C26" i="10"/>
  <c r="AB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C25" i="10"/>
  <c r="AB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C24" i="10"/>
  <c r="AB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C23" i="10"/>
  <c r="AB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C22" i="10"/>
  <c r="AB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C21" i="10"/>
  <c r="AB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C20" i="10"/>
  <c r="AB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C19" i="10"/>
  <c r="AB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C18" i="10"/>
  <c r="AB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C17" i="10"/>
  <c r="AB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C16" i="10"/>
  <c r="AB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C15" i="10"/>
  <c r="AB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C14" i="10"/>
  <c r="AB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C13" i="10"/>
  <c r="AB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C11" i="10"/>
  <c r="AB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C10" i="10"/>
  <c r="AB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C9" i="10"/>
  <c r="AB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C8" i="10"/>
  <c r="AB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C6" i="10"/>
  <c r="AB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C5" i="10"/>
  <c r="AB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C4" i="10"/>
  <c r="AB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E3" i="10"/>
  <c r="B3" i="10"/>
  <c r="A3" i="10"/>
  <c r="AC2" i="10"/>
  <c r="AB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AC31" i="9"/>
  <c r="AB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C30" i="9"/>
  <c r="AB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C29" i="9"/>
  <c r="AB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C28" i="9"/>
  <c r="AB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B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C27" i="9"/>
  <c r="B27" i="9"/>
  <c r="A27" i="9"/>
  <c r="AB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C26" i="9"/>
  <c r="B26" i="9"/>
  <c r="A26" i="9"/>
  <c r="AC25" i="9"/>
  <c r="AB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C24" i="9"/>
  <c r="AB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C23" i="9"/>
  <c r="AB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C22" i="9"/>
  <c r="AB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C21" i="9"/>
  <c r="AB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C20" i="9"/>
  <c r="AB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C19" i="9"/>
  <c r="AB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C18" i="9"/>
  <c r="AB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C17" i="9"/>
  <c r="AB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C16" i="9"/>
  <c r="AB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C15" i="9"/>
  <c r="AB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C14" i="9"/>
  <c r="AB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C13" i="9"/>
  <c r="AB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C12" i="9"/>
  <c r="AB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C11" i="9"/>
  <c r="AB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C10" i="9"/>
  <c r="AB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C9" i="9"/>
  <c r="AB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AC8" i="9"/>
  <c r="AB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AC7" i="9"/>
  <c r="AB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AC6" i="9"/>
  <c r="AB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AC5" i="9"/>
  <c r="AB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AC4" i="9"/>
  <c r="AB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AC3" i="9"/>
  <c r="AB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3" i="9"/>
  <c r="AC2" i="9"/>
  <c r="AB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</calcChain>
</file>

<file path=xl/sharedStrings.xml><?xml version="1.0" encoding="utf-8"?>
<sst xmlns="http://schemas.openxmlformats.org/spreadsheetml/2006/main" count="145" uniqueCount="29">
  <si>
    <t>Ansvarlig</t>
  </si>
  <si>
    <t>Mæglernavn</t>
  </si>
  <si>
    <t>CVR</t>
  </si>
  <si>
    <t>Produktnavn</t>
  </si>
  <si>
    <t>Produktnr. (Economics)</t>
  </si>
  <si>
    <t>Primær kontakt</t>
  </si>
  <si>
    <t>Primær kontakt(mail)</t>
  </si>
  <si>
    <t>Primær kontakt tlf.</t>
  </si>
  <si>
    <t>Adresse</t>
  </si>
  <si>
    <t>Postnr</t>
  </si>
  <si>
    <t>Postdistrikt</t>
  </si>
  <si>
    <t>Kommune</t>
  </si>
  <si>
    <t>Landsdel</t>
  </si>
  <si>
    <t>Region</t>
  </si>
  <si>
    <t>Tlf</t>
  </si>
  <si>
    <t>Email</t>
  </si>
  <si>
    <t>Link</t>
  </si>
  <si>
    <t>PM postnumre</t>
  </si>
  <si>
    <t>PM start</t>
  </si>
  <si>
    <t>PM stop</t>
  </si>
  <si>
    <t>Udbud</t>
  </si>
  <si>
    <t>Postnumre med udbud</t>
  </si>
  <si>
    <t>Handler (6 mdr.)</t>
  </si>
  <si>
    <t>Postnumre med handler</t>
  </si>
  <si>
    <t>MG ja/nej/måske/møde</t>
  </si>
  <si>
    <t>kommentar</t>
  </si>
  <si>
    <t>Dato (evt. Møde)</t>
  </si>
  <si>
    <t>kontrakt sendt</t>
  </si>
  <si>
    <t>bekræftelse modtaget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</si>
</sst>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\-yyyy"/>
    <numFmt numFmtId="165" formatCode="dd\-mm\-yyyy"/>
    <numFmt numFmtId="166" formatCode="d/m"/>
  </numFmts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Inconsolata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/>
    <xf numFmtId="0" fontId="2" fillId="4" borderId="0" xfId="0" applyFont="1" applyFill="1" applyAlignment="1">
      <alignment wrapText="1"/>
    </xf>
    <xf numFmtId="0" fontId="3" fillId="5" borderId="0" xfId="0" applyFont="1" applyFill="1" applyAlignment="1"/>
    <xf numFmtId="0" fontId="5" fillId="0" borderId="0" xfId="0" applyFont="1"/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/>
    <xf numFmtId="0" fontId="6" fillId="3" borderId="0" xfId="0" applyFont="1" applyFill="1" applyAlignment="1">
      <alignment horizontal="left"/>
    </xf>
    <xf numFmtId="0" fontId="7" fillId="2" borderId="0" xfId="0" applyFont="1" applyFill="1"/>
    <xf numFmtId="0" fontId="1" fillId="0" borderId="0" xfId="0" applyFont="1"/>
    <xf numFmtId="0" fontId="8" fillId="0" borderId="0" xfId="0" applyFont="1"/>
    <xf numFmtId="14" fontId="1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11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liga.dk/maegler/77" TargetMode="External"/><Relationship Id="rId13" Type="http://schemas.openxmlformats.org/officeDocument/2006/relationships/hyperlink" Target="https://www.boliga.dk/maegler/990" TargetMode="External"/><Relationship Id="rId18" Type="http://schemas.openxmlformats.org/officeDocument/2006/relationships/hyperlink" Target="https://www.boliga.dk/maegler/454" TargetMode="External"/><Relationship Id="rId26" Type="http://schemas.openxmlformats.org/officeDocument/2006/relationships/hyperlink" Target="https://www.boliga.dk/maegler/311" TargetMode="External"/><Relationship Id="rId3" Type="http://schemas.openxmlformats.org/officeDocument/2006/relationships/hyperlink" Target="https://www.boliga.dk/maegler/703" TargetMode="External"/><Relationship Id="rId21" Type="http://schemas.openxmlformats.org/officeDocument/2006/relationships/hyperlink" Target="https://www.boliga.dk/maegler/249" TargetMode="External"/><Relationship Id="rId7" Type="http://schemas.openxmlformats.org/officeDocument/2006/relationships/hyperlink" Target="https://www.boliga.dk/maegler/1002" TargetMode="External"/><Relationship Id="rId12" Type="http://schemas.openxmlformats.org/officeDocument/2006/relationships/hyperlink" Target="https://www.boliga.dk/maegler/1032" TargetMode="External"/><Relationship Id="rId17" Type="http://schemas.openxmlformats.org/officeDocument/2006/relationships/hyperlink" Target="https://www.boliga.dk/maegler/28" TargetMode="External"/><Relationship Id="rId25" Type="http://schemas.openxmlformats.org/officeDocument/2006/relationships/hyperlink" Target="https://www.boliga.dk/maegler/269" TargetMode="External"/><Relationship Id="rId2" Type="http://schemas.openxmlformats.org/officeDocument/2006/relationships/hyperlink" Target="https://www.boliga.dk/maegler/938" TargetMode="External"/><Relationship Id="rId16" Type="http://schemas.openxmlformats.org/officeDocument/2006/relationships/hyperlink" Target="https://www.boliga.dk/maegler/623" TargetMode="External"/><Relationship Id="rId20" Type="http://schemas.openxmlformats.org/officeDocument/2006/relationships/hyperlink" Target="https://www.boliga.dk/maegler/991" TargetMode="External"/><Relationship Id="rId29" Type="http://schemas.openxmlformats.org/officeDocument/2006/relationships/hyperlink" Target="https://www.boliga.dk/maegler/331" TargetMode="External"/><Relationship Id="rId1" Type="http://schemas.openxmlformats.org/officeDocument/2006/relationships/hyperlink" Target="https://www.boliga.dk/maegler/85" TargetMode="External"/><Relationship Id="rId6" Type="http://schemas.openxmlformats.org/officeDocument/2006/relationships/hyperlink" Target="https://www.boliga.dk/maegler/700" TargetMode="External"/><Relationship Id="rId11" Type="http://schemas.openxmlformats.org/officeDocument/2006/relationships/hyperlink" Target="https://www.boliga.dk/maegler/37" TargetMode="External"/><Relationship Id="rId24" Type="http://schemas.openxmlformats.org/officeDocument/2006/relationships/hyperlink" Target="https://www.boliga.dk/maegler/665" TargetMode="External"/><Relationship Id="rId5" Type="http://schemas.openxmlformats.org/officeDocument/2006/relationships/hyperlink" Target="https://www.boliga.dk/maegler/916" TargetMode="External"/><Relationship Id="rId15" Type="http://schemas.openxmlformats.org/officeDocument/2006/relationships/hyperlink" Target="https://www.boliga.dk/maegler/396" TargetMode="External"/><Relationship Id="rId23" Type="http://schemas.openxmlformats.org/officeDocument/2006/relationships/hyperlink" Target="https://www.boliga.dk/maegler/971" TargetMode="External"/><Relationship Id="rId28" Type="http://schemas.openxmlformats.org/officeDocument/2006/relationships/hyperlink" Target="https://www.boliga.dk/maegler/17600" TargetMode="External"/><Relationship Id="rId10" Type="http://schemas.openxmlformats.org/officeDocument/2006/relationships/hyperlink" Target="https://www.boliga.dk/maegler/845" TargetMode="External"/><Relationship Id="rId19" Type="http://schemas.openxmlformats.org/officeDocument/2006/relationships/hyperlink" Target="https://www.boliga.dk/maegler/487" TargetMode="External"/><Relationship Id="rId4" Type="http://schemas.openxmlformats.org/officeDocument/2006/relationships/hyperlink" Target="https://www.boliga.dk/maegler/992" TargetMode="External"/><Relationship Id="rId9" Type="http://schemas.openxmlformats.org/officeDocument/2006/relationships/hyperlink" Target="https://www.boliga.dk/maegler/827" TargetMode="External"/><Relationship Id="rId14" Type="http://schemas.openxmlformats.org/officeDocument/2006/relationships/hyperlink" Target="https://www.boliga.dk/maegler/194" TargetMode="External"/><Relationship Id="rId22" Type="http://schemas.openxmlformats.org/officeDocument/2006/relationships/hyperlink" Target="https://www.boliga.dk/maegler/562" TargetMode="External"/><Relationship Id="rId27" Type="http://schemas.openxmlformats.org/officeDocument/2006/relationships/hyperlink" Target="https://www.boliga.dk/maegler/447" TargetMode="External"/><Relationship Id="rId30" Type="http://schemas.openxmlformats.org/officeDocument/2006/relationships/hyperlink" Target="https://www.boliga.dk/maegler/840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oliga.dk/maegler/25716" TargetMode="External"/><Relationship Id="rId21" Type="http://schemas.openxmlformats.org/officeDocument/2006/relationships/hyperlink" Target="https://www.boliga.dk/maegler/25081" TargetMode="External"/><Relationship Id="rId34" Type="http://schemas.openxmlformats.org/officeDocument/2006/relationships/hyperlink" Target="https://www.boliga.dk/maegler/28838" TargetMode="External"/><Relationship Id="rId42" Type="http://schemas.openxmlformats.org/officeDocument/2006/relationships/hyperlink" Target="https://www.boliga.dk/maegler/23089" TargetMode="External"/><Relationship Id="rId47" Type="http://schemas.openxmlformats.org/officeDocument/2006/relationships/hyperlink" Target="https://www.boliga.dk/maegler/22715" TargetMode="External"/><Relationship Id="rId50" Type="http://schemas.openxmlformats.org/officeDocument/2006/relationships/hyperlink" Target="https://www.boliga.dk/maegler/26579" TargetMode="External"/><Relationship Id="rId55" Type="http://schemas.openxmlformats.org/officeDocument/2006/relationships/hyperlink" Target="https://www.boliga.dk/maegler/19183" TargetMode="External"/><Relationship Id="rId63" Type="http://schemas.openxmlformats.org/officeDocument/2006/relationships/hyperlink" Target="https://www.boliga.dk/maegler/29135" TargetMode="External"/><Relationship Id="rId7" Type="http://schemas.openxmlformats.org/officeDocument/2006/relationships/hyperlink" Target="https://www.boliga.dk/maegler/18628" TargetMode="External"/><Relationship Id="rId2" Type="http://schemas.openxmlformats.org/officeDocument/2006/relationships/hyperlink" Target="https://www.boliga.dk/maegler/476" TargetMode="External"/><Relationship Id="rId16" Type="http://schemas.openxmlformats.org/officeDocument/2006/relationships/hyperlink" Target="https://www.boliga.dk/maegler/18220" TargetMode="External"/><Relationship Id="rId29" Type="http://schemas.openxmlformats.org/officeDocument/2006/relationships/hyperlink" Target="mailto:gurli@mailreal.dk" TargetMode="External"/><Relationship Id="rId11" Type="http://schemas.openxmlformats.org/officeDocument/2006/relationships/hyperlink" Target="https://www.boliga.dk/maegler/18434" TargetMode="External"/><Relationship Id="rId24" Type="http://schemas.openxmlformats.org/officeDocument/2006/relationships/hyperlink" Target="https://www.boliga.dk/maegler/24573" TargetMode="External"/><Relationship Id="rId32" Type="http://schemas.openxmlformats.org/officeDocument/2006/relationships/hyperlink" Target="https://www.boliga.dk/maegler/796" TargetMode="External"/><Relationship Id="rId37" Type="http://schemas.openxmlformats.org/officeDocument/2006/relationships/hyperlink" Target="https://www.boliga.dk/maegler/29124" TargetMode="External"/><Relationship Id="rId40" Type="http://schemas.openxmlformats.org/officeDocument/2006/relationships/hyperlink" Target="https://www.boliga.dk/maegler/29046" TargetMode="External"/><Relationship Id="rId45" Type="http://schemas.openxmlformats.org/officeDocument/2006/relationships/hyperlink" Target="https://www.boliga.dk/maegler/706" TargetMode="External"/><Relationship Id="rId53" Type="http://schemas.openxmlformats.org/officeDocument/2006/relationships/hyperlink" Target="https://www.boliga.dk/maegler/1077" TargetMode="External"/><Relationship Id="rId58" Type="http://schemas.openxmlformats.org/officeDocument/2006/relationships/hyperlink" Target="https://www.boliga.dk/maegler/24723" TargetMode="External"/><Relationship Id="rId66" Type="http://schemas.openxmlformats.org/officeDocument/2006/relationships/hyperlink" Target="https://www.boliga.dk/maegler/24574" TargetMode="External"/><Relationship Id="rId5" Type="http://schemas.openxmlformats.org/officeDocument/2006/relationships/hyperlink" Target="https://www.boliga.dk/maegler/17454" TargetMode="External"/><Relationship Id="rId61" Type="http://schemas.openxmlformats.org/officeDocument/2006/relationships/hyperlink" Target="https://www.boliga.dk/maegler/17455" TargetMode="External"/><Relationship Id="rId19" Type="http://schemas.openxmlformats.org/officeDocument/2006/relationships/hyperlink" Target="https://www.boliga.dk/maegler/26919" TargetMode="External"/><Relationship Id="rId14" Type="http://schemas.openxmlformats.org/officeDocument/2006/relationships/hyperlink" Target="https://www.boliga.dk/maegler/18708" TargetMode="External"/><Relationship Id="rId22" Type="http://schemas.openxmlformats.org/officeDocument/2006/relationships/hyperlink" Target="https://www.boliga.dk/maegler/165" TargetMode="External"/><Relationship Id="rId27" Type="http://schemas.openxmlformats.org/officeDocument/2006/relationships/hyperlink" Target="https://www.boliga.dk/maegler/18001" TargetMode="External"/><Relationship Id="rId30" Type="http://schemas.openxmlformats.org/officeDocument/2006/relationships/hyperlink" Target="https://www.boliga.dk/maegler/18402" TargetMode="External"/><Relationship Id="rId35" Type="http://schemas.openxmlformats.org/officeDocument/2006/relationships/hyperlink" Target="https://www.boliga.dk/maegler/1083" TargetMode="External"/><Relationship Id="rId43" Type="http://schemas.openxmlformats.org/officeDocument/2006/relationships/hyperlink" Target="https://www.boliga.dk/maegler/18197" TargetMode="External"/><Relationship Id="rId48" Type="http://schemas.openxmlformats.org/officeDocument/2006/relationships/hyperlink" Target="https://www.boliga.dk/maegler/17399" TargetMode="External"/><Relationship Id="rId56" Type="http://schemas.openxmlformats.org/officeDocument/2006/relationships/hyperlink" Target="https://www.boliga.dk/maegler/613" TargetMode="External"/><Relationship Id="rId64" Type="http://schemas.openxmlformats.org/officeDocument/2006/relationships/hyperlink" Target="https://www.boliga.dk/maegler/24893" TargetMode="External"/><Relationship Id="rId8" Type="http://schemas.openxmlformats.org/officeDocument/2006/relationships/hyperlink" Target="https://www.boliga.dk/maegler/29022" TargetMode="External"/><Relationship Id="rId51" Type="http://schemas.openxmlformats.org/officeDocument/2006/relationships/hyperlink" Target="https://www.boliga.dk/maegler/18744" TargetMode="External"/><Relationship Id="rId3" Type="http://schemas.openxmlformats.org/officeDocument/2006/relationships/hyperlink" Target="https://www.boliga.dk/maegler/54" TargetMode="External"/><Relationship Id="rId12" Type="http://schemas.openxmlformats.org/officeDocument/2006/relationships/hyperlink" Target="https://www.boliga.dk/maegler/17695" TargetMode="External"/><Relationship Id="rId17" Type="http://schemas.openxmlformats.org/officeDocument/2006/relationships/hyperlink" Target="https://www.boliga.dk/maegler/26913" TargetMode="External"/><Relationship Id="rId25" Type="http://schemas.openxmlformats.org/officeDocument/2006/relationships/hyperlink" Target="https://www.boliga.dk/maegler/27178" TargetMode="External"/><Relationship Id="rId33" Type="http://schemas.openxmlformats.org/officeDocument/2006/relationships/hyperlink" Target="mailto:robin@mailreal.dk" TargetMode="External"/><Relationship Id="rId38" Type="http://schemas.openxmlformats.org/officeDocument/2006/relationships/hyperlink" Target="https://www.boliga.dk/maegler/25181" TargetMode="External"/><Relationship Id="rId46" Type="http://schemas.openxmlformats.org/officeDocument/2006/relationships/hyperlink" Target="mailto:rajo@mailreal.dk" TargetMode="External"/><Relationship Id="rId59" Type="http://schemas.openxmlformats.org/officeDocument/2006/relationships/hyperlink" Target="https://www.boliga.dk/maegler/25317" TargetMode="External"/><Relationship Id="rId67" Type="http://schemas.openxmlformats.org/officeDocument/2006/relationships/hyperlink" Target="https://www.boliga.dk/maegler/29045" TargetMode="External"/><Relationship Id="rId20" Type="http://schemas.openxmlformats.org/officeDocument/2006/relationships/hyperlink" Target="https://www.boliga.dk/maegler/859" TargetMode="External"/><Relationship Id="rId41" Type="http://schemas.openxmlformats.org/officeDocument/2006/relationships/hyperlink" Target="https://www.boliga.dk/maegler/494" TargetMode="External"/><Relationship Id="rId54" Type="http://schemas.openxmlformats.org/officeDocument/2006/relationships/hyperlink" Target="https://www.boliga.dk/maegler/720" TargetMode="External"/><Relationship Id="rId62" Type="http://schemas.openxmlformats.org/officeDocument/2006/relationships/hyperlink" Target="https://www.boliga.dk/maegler/17960" TargetMode="External"/><Relationship Id="rId1" Type="http://schemas.openxmlformats.org/officeDocument/2006/relationships/hyperlink" Target="https://www.boliga.dk/maegler/27100" TargetMode="External"/><Relationship Id="rId6" Type="http://schemas.openxmlformats.org/officeDocument/2006/relationships/hyperlink" Target="https://www.boliga.dk/maegler/22933" TargetMode="External"/><Relationship Id="rId15" Type="http://schemas.openxmlformats.org/officeDocument/2006/relationships/hyperlink" Target="https://www.boliga.dk/maegler/17674" TargetMode="External"/><Relationship Id="rId23" Type="http://schemas.openxmlformats.org/officeDocument/2006/relationships/hyperlink" Target="https://www.boliga.dk/maegler/1027" TargetMode="External"/><Relationship Id="rId28" Type="http://schemas.openxmlformats.org/officeDocument/2006/relationships/hyperlink" Target="https://www.boliga.dk/maegler/27451" TargetMode="External"/><Relationship Id="rId36" Type="http://schemas.openxmlformats.org/officeDocument/2006/relationships/hyperlink" Target="mailto:koege@mailreal.dk" TargetMode="External"/><Relationship Id="rId49" Type="http://schemas.openxmlformats.org/officeDocument/2006/relationships/hyperlink" Target="https://www.boliga.dk/maegler/29040" TargetMode="External"/><Relationship Id="rId57" Type="http://schemas.openxmlformats.org/officeDocument/2006/relationships/hyperlink" Target="https://www.boliga.dk/maegler/26925" TargetMode="External"/><Relationship Id="rId10" Type="http://schemas.openxmlformats.org/officeDocument/2006/relationships/hyperlink" Target="https://www.boliga.dk/maegler/24047" TargetMode="External"/><Relationship Id="rId31" Type="http://schemas.openxmlformats.org/officeDocument/2006/relationships/hyperlink" Target="mailto:anette@mailreal.dk" TargetMode="External"/><Relationship Id="rId44" Type="http://schemas.openxmlformats.org/officeDocument/2006/relationships/hyperlink" Target="https://www.boliga.dk/maegler/18578" TargetMode="External"/><Relationship Id="rId52" Type="http://schemas.openxmlformats.org/officeDocument/2006/relationships/hyperlink" Target="https://www.boliga.dk/maegler/25973" TargetMode="External"/><Relationship Id="rId60" Type="http://schemas.openxmlformats.org/officeDocument/2006/relationships/hyperlink" Target="https://www.boliga.dk/maegler/18353" TargetMode="External"/><Relationship Id="rId65" Type="http://schemas.openxmlformats.org/officeDocument/2006/relationships/hyperlink" Target="https://www.boliga.dk/maegler/26924" TargetMode="External"/><Relationship Id="rId4" Type="http://schemas.openxmlformats.org/officeDocument/2006/relationships/hyperlink" Target="https://www.boliga.dk/maegler/535" TargetMode="External"/><Relationship Id="rId9" Type="http://schemas.openxmlformats.org/officeDocument/2006/relationships/hyperlink" Target="https://www.boliga.dk/maegler/619" TargetMode="External"/><Relationship Id="rId13" Type="http://schemas.openxmlformats.org/officeDocument/2006/relationships/hyperlink" Target="https://www.boliga.dk/maegler/460" TargetMode="External"/><Relationship Id="rId18" Type="http://schemas.openxmlformats.org/officeDocument/2006/relationships/hyperlink" Target="https://www.boliga.dk/maegler/762" TargetMode="External"/><Relationship Id="rId39" Type="http://schemas.openxmlformats.org/officeDocument/2006/relationships/hyperlink" Target="https://www.boliga.dk/maegler/1873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liga.dk/maegler/26330" TargetMode="External"/><Relationship Id="rId21" Type="http://schemas.openxmlformats.org/officeDocument/2006/relationships/hyperlink" Target="https://www.boliga.dk/maegler/27525" TargetMode="External"/><Relationship Id="rId42" Type="http://schemas.openxmlformats.org/officeDocument/2006/relationships/hyperlink" Target="https://www.boliga.dk/maegler/25624" TargetMode="External"/><Relationship Id="rId63" Type="http://schemas.openxmlformats.org/officeDocument/2006/relationships/hyperlink" Target="https://www.boliga.dk/maegler/25319" TargetMode="External"/><Relationship Id="rId84" Type="http://schemas.openxmlformats.org/officeDocument/2006/relationships/hyperlink" Target="https://www.boliga.dk/maegler/25804" TargetMode="External"/><Relationship Id="rId138" Type="http://schemas.openxmlformats.org/officeDocument/2006/relationships/hyperlink" Target="https://www.boliga.dk/maegler/22020" TargetMode="External"/><Relationship Id="rId159" Type="http://schemas.openxmlformats.org/officeDocument/2006/relationships/hyperlink" Target="https://www.boliga.dk/maegler/28365" TargetMode="External"/><Relationship Id="rId170" Type="http://schemas.openxmlformats.org/officeDocument/2006/relationships/hyperlink" Target="mailto:lars@ekmanbolig.dk" TargetMode="External"/><Relationship Id="rId191" Type="http://schemas.openxmlformats.org/officeDocument/2006/relationships/hyperlink" Target="https://www.boliga.dk/maegler/28361" TargetMode="External"/><Relationship Id="rId205" Type="http://schemas.openxmlformats.org/officeDocument/2006/relationships/hyperlink" Target="https://www.boliga.dk/maegler/27960" TargetMode="External"/><Relationship Id="rId107" Type="http://schemas.openxmlformats.org/officeDocument/2006/relationships/hyperlink" Target="https://www.boliga.dk/maegler/17294" TargetMode="External"/><Relationship Id="rId11" Type="http://schemas.openxmlformats.org/officeDocument/2006/relationships/hyperlink" Target="https://www.boliga.dk/maegler/25817" TargetMode="External"/><Relationship Id="rId32" Type="http://schemas.openxmlformats.org/officeDocument/2006/relationships/hyperlink" Target="https://www.boliga.dk/maegler/27613" TargetMode="External"/><Relationship Id="rId53" Type="http://schemas.openxmlformats.org/officeDocument/2006/relationships/hyperlink" Target="https://www.boliga.dk/maegler/22397" TargetMode="External"/><Relationship Id="rId74" Type="http://schemas.openxmlformats.org/officeDocument/2006/relationships/hyperlink" Target="https://www.boliga.dk/maegler/22083" TargetMode="External"/><Relationship Id="rId128" Type="http://schemas.openxmlformats.org/officeDocument/2006/relationships/hyperlink" Target="https://www.boliga.dk/maegler/29137" TargetMode="External"/><Relationship Id="rId149" Type="http://schemas.openxmlformats.org/officeDocument/2006/relationships/hyperlink" Target="https://www.boliga.dk/maegler/19156" TargetMode="External"/><Relationship Id="rId5" Type="http://schemas.openxmlformats.org/officeDocument/2006/relationships/hyperlink" Target="https://www.boliga.dk/maegler/25807" TargetMode="External"/><Relationship Id="rId95" Type="http://schemas.openxmlformats.org/officeDocument/2006/relationships/hyperlink" Target="https://www.boliga.dk/maegler/29119" TargetMode="External"/><Relationship Id="rId160" Type="http://schemas.openxmlformats.org/officeDocument/2006/relationships/hyperlink" Target="mailto:magnus@boligone.dk" TargetMode="External"/><Relationship Id="rId181" Type="http://schemas.openxmlformats.org/officeDocument/2006/relationships/hyperlink" Target="https://www.boliga.dk/maegler/26672" TargetMode="External"/><Relationship Id="rId216" Type="http://schemas.openxmlformats.org/officeDocument/2006/relationships/hyperlink" Target="http://dan@dkboligteam.dk/" TargetMode="External"/><Relationship Id="rId22" Type="http://schemas.openxmlformats.org/officeDocument/2006/relationships/hyperlink" Target="https://www.boliga.dk/maegler/29095" TargetMode="External"/><Relationship Id="rId43" Type="http://schemas.openxmlformats.org/officeDocument/2006/relationships/hyperlink" Target="mailto:dc@carlssonliving.dk" TargetMode="External"/><Relationship Id="rId64" Type="http://schemas.openxmlformats.org/officeDocument/2006/relationships/hyperlink" Target="https://www.boliga.dk/maegler/27284" TargetMode="External"/><Relationship Id="rId118" Type="http://schemas.openxmlformats.org/officeDocument/2006/relationships/hyperlink" Target="https://www.boliga.dk/maegler/644" TargetMode="External"/><Relationship Id="rId139" Type="http://schemas.openxmlformats.org/officeDocument/2006/relationships/hyperlink" Target="mailto:christina@dit-hjem.dk" TargetMode="External"/><Relationship Id="rId85" Type="http://schemas.openxmlformats.org/officeDocument/2006/relationships/hyperlink" Target="mailto:susanne@minbolighandel.dk" TargetMode="External"/><Relationship Id="rId150" Type="http://schemas.openxmlformats.org/officeDocument/2006/relationships/hyperlink" Target="https://www.boliga.dk/maegler/25213" TargetMode="External"/><Relationship Id="rId171" Type="http://schemas.openxmlformats.org/officeDocument/2006/relationships/hyperlink" Target="https://www.boliga.dk/maegler/17139" TargetMode="External"/><Relationship Id="rId192" Type="http://schemas.openxmlformats.org/officeDocument/2006/relationships/hyperlink" Target="https://www.boliga.dk/maegler/17200" TargetMode="External"/><Relationship Id="rId206" Type="http://schemas.openxmlformats.org/officeDocument/2006/relationships/hyperlink" Target="https://www.boliga.dk/maegler/26553" TargetMode="External"/><Relationship Id="rId12" Type="http://schemas.openxmlformats.org/officeDocument/2006/relationships/hyperlink" Target="https://www.boliga.dk/maegler/27895" TargetMode="External"/><Relationship Id="rId33" Type="http://schemas.openxmlformats.org/officeDocument/2006/relationships/hyperlink" Target="https://www.boliga.dk/maegler/431" TargetMode="External"/><Relationship Id="rId108" Type="http://schemas.openxmlformats.org/officeDocument/2006/relationships/hyperlink" Target="mailto:colding@vedel-colding.dk" TargetMode="External"/><Relationship Id="rId129" Type="http://schemas.openxmlformats.org/officeDocument/2006/relationships/hyperlink" Target="mailto:findhjem7400@jespernielsen.dk" TargetMode="External"/><Relationship Id="rId54" Type="http://schemas.openxmlformats.org/officeDocument/2006/relationships/hyperlink" Target="https://www.boliga.dk/maegler/24522" TargetMode="External"/><Relationship Id="rId75" Type="http://schemas.openxmlformats.org/officeDocument/2006/relationships/hyperlink" Target="https://www.boliga.dk/maegler/25877" TargetMode="External"/><Relationship Id="rId96" Type="http://schemas.openxmlformats.org/officeDocument/2006/relationships/hyperlink" Target="https://www.boliga.dk/maegler/26586" TargetMode="External"/><Relationship Id="rId140" Type="http://schemas.openxmlformats.org/officeDocument/2006/relationships/hyperlink" Target="https://www.boliga.dk/maegler/28683" TargetMode="External"/><Relationship Id="rId161" Type="http://schemas.openxmlformats.org/officeDocument/2006/relationships/hyperlink" Target="https://www.boliga.dk/maegler/29125" TargetMode="External"/><Relationship Id="rId182" Type="http://schemas.openxmlformats.org/officeDocument/2006/relationships/hyperlink" Target="https://www.boliga.dk/maegler/26334" TargetMode="External"/><Relationship Id="rId217" Type="http://schemas.openxmlformats.org/officeDocument/2006/relationships/hyperlink" Target="http://1.81.212.166/" TargetMode="External"/><Relationship Id="rId6" Type="http://schemas.openxmlformats.org/officeDocument/2006/relationships/hyperlink" Target="https://www.boliga.dk/maegler/27892" TargetMode="External"/><Relationship Id="rId23" Type="http://schemas.openxmlformats.org/officeDocument/2006/relationships/hyperlink" Target="https://www.boliga.dk/maegler/27538" TargetMode="External"/><Relationship Id="rId119" Type="http://schemas.openxmlformats.org/officeDocument/2006/relationships/hyperlink" Target="https://www.boliga.dk/maegler/28359" TargetMode="External"/><Relationship Id="rId44" Type="http://schemas.openxmlformats.org/officeDocument/2006/relationships/hyperlink" Target="https://www.boliga.dk/maegler/26473" TargetMode="External"/><Relationship Id="rId65" Type="http://schemas.openxmlformats.org/officeDocument/2006/relationships/hyperlink" Target="https://www.boliga.dk/maegler/25192" TargetMode="External"/><Relationship Id="rId86" Type="http://schemas.openxmlformats.org/officeDocument/2006/relationships/hyperlink" Target="https://www.boliga.dk/maegler/25802" TargetMode="External"/><Relationship Id="rId130" Type="http://schemas.openxmlformats.org/officeDocument/2006/relationships/hyperlink" Target="https://www.boliga.dk/maegler/29138" TargetMode="External"/><Relationship Id="rId151" Type="http://schemas.openxmlformats.org/officeDocument/2006/relationships/hyperlink" Target="https://www.boliga.dk/maegler/29042" TargetMode="External"/><Relationship Id="rId172" Type="http://schemas.openxmlformats.org/officeDocument/2006/relationships/hyperlink" Target="https://www.boliga.dk/maegler/20867" TargetMode="External"/><Relationship Id="rId193" Type="http://schemas.openxmlformats.org/officeDocument/2006/relationships/hyperlink" Target="https://www.boliga.dk/maegler/29105" TargetMode="External"/><Relationship Id="rId207" Type="http://schemas.openxmlformats.org/officeDocument/2006/relationships/hyperlink" Target="https://www.boliga.dk/maegler/25244" TargetMode="External"/><Relationship Id="rId13" Type="http://schemas.openxmlformats.org/officeDocument/2006/relationships/hyperlink" Target="https://www.boliga.dk/maegler/25813" TargetMode="External"/><Relationship Id="rId109" Type="http://schemas.openxmlformats.org/officeDocument/2006/relationships/hyperlink" Target="https://www.boliga.dk/maegler/24806" TargetMode="External"/><Relationship Id="rId34" Type="http://schemas.openxmlformats.org/officeDocument/2006/relationships/hyperlink" Target="https://www.boliga.dk/maegler/17463" TargetMode="External"/><Relationship Id="rId55" Type="http://schemas.openxmlformats.org/officeDocument/2006/relationships/hyperlink" Target="https://www.boliga.dk/maegler/22489" TargetMode="External"/><Relationship Id="rId76" Type="http://schemas.openxmlformats.org/officeDocument/2006/relationships/hyperlink" Target="https://www.boliga.dk/maegler/23833" TargetMode="External"/><Relationship Id="rId97" Type="http://schemas.openxmlformats.org/officeDocument/2006/relationships/hyperlink" Target="https://www.boliga.dk/maegler/26586" TargetMode="External"/><Relationship Id="rId120" Type="http://schemas.openxmlformats.org/officeDocument/2006/relationships/hyperlink" Target="mailto:cb@brandeboligsalg.dk" TargetMode="External"/><Relationship Id="rId141" Type="http://schemas.openxmlformats.org/officeDocument/2006/relationships/hyperlink" Target="https://www.boliga.dk/maegler/24822" TargetMode="External"/><Relationship Id="rId7" Type="http://schemas.openxmlformats.org/officeDocument/2006/relationships/hyperlink" Target="https://www.boliga.dk/maegler/27894" TargetMode="External"/><Relationship Id="rId162" Type="http://schemas.openxmlformats.org/officeDocument/2006/relationships/hyperlink" Target="https://www.boliga.dk/maegler/25519" TargetMode="External"/><Relationship Id="rId183" Type="http://schemas.openxmlformats.org/officeDocument/2006/relationships/hyperlink" Target="https://www.boliga.dk/maegler/26767" TargetMode="External"/><Relationship Id="rId218" Type="http://schemas.openxmlformats.org/officeDocument/2006/relationships/hyperlink" Target="mailto:info@dkboligteam.dk" TargetMode="External"/><Relationship Id="rId24" Type="http://schemas.openxmlformats.org/officeDocument/2006/relationships/hyperlink" Target="https://www.boliga.dk/maegler/27539" TargetMode="External"/><Relationship Id="rId45" Type="http://schemas.openxmlformats.org/officeDocument/2006/relationships/hyperlink" Target="https://www.boliga.dk/maegler/26472" TargetMode="External"/><Relationship Id="rId66" Type="http://schemas.openxmlformats.org/officeDocument/2006/relationships/hyperlink" Target="mailto:cbm@jespernielsen.dk" TargetMode="External"/><Relationship Id="rId87" Type="http://schemas.openxmlformats.org/officeDocument/2006/relationships/hyperlink" Target="mailto:susanne@minbolighandel.dk" TargetMode="External"/><Relationship Id="rId110" Type="http://schemas.openxmlformats.org/officeDocument/2006/relationships/hyperlink" Target="https://www.boliga.dk/maegler/24200" TargetMode="External"/><Relationship Id="rId131" Type="http://schemas.openxmlformats.org/officeDocument/2006/relationships/hyperlink" Target="mailto:info@kesam.dk" TargetMode="External"/><Relationship Id="rId152" Type="http://schemas.openxmlformats.org/officeDocument/2006/relationships/hyperlink" Target="https://www.boliga.dk/maegler/25219" TargetMode="External"/><Relationship Id="rId173" Type="http://schemas.openxmlformats.org/officeDocument/2006/relationships/hyperlink" Target="https://www.boliga.dk/maegler/25623" TargetMode="External"/><Relationship Id="rId194" Type="http://schemas.openxmlformats.org/officeDocument/2006/relationships/hyperlink" Target="https://www.boliga.dk/maegler/26239" TargetMode="External"/><Relationship Id="rId208" Type="http://schemas.openxmlformats.org/officeDocument/2006/relationships/hyperlink" Target="https://www.boliga.dk/maegler/25811" TargetMode="External"/><Relationship Id="rId14" Type="http://schemas.openxmlformats.org/officeDocument/2006/relationships/hyperlink" Target="https://www.boliga.dk/maegler/29093" TargetMode="External"/><Relationship Id="rId35" Type="http://schemas.openxmlformats.org/officeDocument/2006/relationships/hyperlink" Target="http://boligbolig.dk/" TargetMode="External"/><Relationship Id="rId56" Type="http://schemas.openxmlformats.org/officeDocument/2006/relationships/hyperlink" Target="mailto:cecilie@fokusmaeglerne.dk" TargetMode="External"/><Relationship Id="rId77" Type="http://schemas.openxmlformats.org/officeDocument/2006/relationships/hyperlink" Target="https://www.boliga.dk/maegler/26509" TargetMode="External"/><Relationship Id="rId100" Type="http://schemas.openxmlformats.org/officeDocument/2006/relationships/hyperlink" Target="mailto:nicolai@karhofbolig.dk" TargetMode="External"/><Relationship Id="rId8" Type="http://schemas.openxmlformats.org/officeDocument/2006/relationships/hyperlink" Target="https://www.boliga.dk/maegler/25815" TargetMode="External"/><Relationship Id="rId51" Type="http://schemas.openxmlformats.org/officeDocument/2006/relationships/hyperlink" Target="https://www.boliga.dk/maegler/29092" TargetMode="External"/><Relationship Id="rId72" Type="http://schemas.openxmlformats.org/officeDocument/2006/relationships/hyperlink" Target="mailto:FINDHJEM4300@JESPERNIELSEN.DK" TargetMode="External"/><Relationship Id="rId93" Type="http://schemas.openxmlformats.org/officeDocument/2006/relationships/hyperlink" Target="https://www.boliga.dk/maegler/27277" TargetMode="External"/><Relationship Id="rId98" Type="http://schemas.openxmlformats.org/officeDocument/2006/relationships/hyperlink" Target="https://www.boliga.dk/maegler/26586" TargetMode="External"/><Relationship Id="rId121" Type="http://schemas.openxmlformats.org/officeDocument/2006/relationships/hyperlink" Target="https://www.boliga.dk/maegler/17229" TargetMode="External"/><Relationship Id="rId142" Type="http://schemas.openxmlformats.org/officeDocument/2006/relationships/hyperlink" Target="https://www.boliga.dk/maegler/27520" TargetMode="External"/><Relationship Id="rId163" Type="http://schemas.openxmlformats.org/officeDocument/2006/relationships/hyperlink" Target="mailto:nanna@danskebolig.dk" TargetMode="External"/><Relationship Id="rId184" Type="http://schemas.openxmlformats.org/officeDocument/2006/relationships/hyperlink" Target="https://www.boliga.dk/maegler/851" TargetMode="External"/><Relationship Id="rId189" Type="http://schemas.openxmlformats.org/officeDocument/2006/relationships/hyperlink" Target="https://www.boliga.dk/maegler/25063" TargetMode="External"/><Relationship Id="rId219" Type="http://schemas.openxmlformats.org/officeDocument/2006/relationships/hyperlink" Target="https://www.boliga.dk/maegler/29131" TargetMode="External"/><Relationship Id="rId3" Type="http://schemas.openxmlformats.org/officeDocument/2006/relationships/hyperlink" Target="https://www.boliga.dk/maegler/25806" TargetMode="External"/><Relationship Id="rId214" Type="http://schemas.openxmlformats.org/officeDocument/2006/relationships/hyperlink" Target="https://www.boliga.dk/maegler/29088" TargetMode="External"/><Relationship Id="rId25" Type="http://schemas.openxmlformats.org/officeDocument/2006/relationships/hyperlink" Target="https://www.boliga.dk/maegler/27528" TargetMode="External"/><Relationship Id="rId46" Type="http://schemas.openxmlformats.org/officeDocument/2006/relationships/hyperlink" Target="https://www.boliga.dk/maegler/25432" TargetMode="External"/><Relationship Id="rId67" Type="http://schemas.openxmlformats.org/officeDocument/2006/relationships/hyperlink" Target="https://www.boliga.dk/maegler/26981" TargetMode="External"/><Relationship Id="rId116" Type="http://schemas.openxmlformats.org/officeDocument/2006/relationships/hyperlink" Target="https://www.boliga.dk/maegler/28350" TargetMode="External"/><Relationship Id="rId137" Type="http://schemas.openxmlformats.org/officeDocument/2006/relationships/hyperlink" Target="https://www.boliga.dk/maegler/25500" TargetMode="External"/><Relationship Id="rId158" Type="http://schemas.openxmlformats.org/officeDocument/2006/relationships/hyperlink" Target="https://www.boliga.dk/maegler/17267" TargetMode="External"/><Relationship Id="rId20" Type="http://schemas.openxmlformats.org/officeDocument/2006/relationships/hyperlink" Target="https://www.boliga.dk/maegler/27537" TargetMode="External"/><Relationship Id="rId41" Type="http://schemas.openxmlformats.org/officeDocument/2006/relationships/hyperlink" Target="https://www.boliga.dk/maegler/27807" TargetMode="External"/><Relationship Id="rId62" Type="http://schemas.openxmlformats.org/officeDocument/2006/relationships/hyperlink" Target="https://www.boliga.dk/maegler/28918" TargetMode="External"/><Relationship Id="rId83" Type="http://schemas.openxmlformats.org/officeDocument/2006/relationships/hyperlink" Target="https://www.boliga.dk/maegler/25488" TargetMode="External"/><Relationship Id="rId88" Type="http://schemas.openxmlformats.org/officeDocument/2006/relationships/hyperlink" Target="https://www.boliga.dk/maegler/25802" TargetMode="External"/><Relationship Id="rId111" Type="http://schemas.openxmlformats.org/officeDocument/2006/relationships/hyperlink" Target="https://www.boliga.dk/maegler/17203" TargetMode="External"/><Relationship Id="rId132" Type="http://schemas.openxmlformats.org/officeDocument/2006/relationships/hyperlink" Target="https://www.boliga.dk/maegler/25237" TargetMode="External"/><Relationship Id="rId153" Type="http://schemas.openxmlformats.org/officeDocument/2006/relationships/hyperlink" Target="https://www.boliga.dk/maegler/26" TargetMode="External"/><Relationship Id="rId174" Type="http://schemas.openxmlformats.org/officeDocument/2006/relationships/hyperlink" Target="https://www.boliga.dk/maegler/22387" TargetMode="External"/><Relationship Id="rId179" Type="http://schemas.openxmlformats.org/officeDocument/2006/relationships/hyperlink" Target="https://www.boliga.dk/maegler/26161" TargetMode="External"/><Relationship Id="rId195" Type="http://schemas.openxmlformats.org/officeDocument/2006/relationships/hyperlink" Target="https://www.boliga.dk/maegler/28931" TargetMode="External"/><Relationship Id="rId209" Type="http://schemas.openxmlformats.org/officeDocument/2006/relationships/hyperlink" Target="https://www.boliga.dk/maegler/28070" TargetMode="External"/><Relationship Id="rId190" Type="http://schemas.openxmlformats.org/officeDocument/2006/relationships/hyperlink" Target="mailto:tly@boligone.dk" TargetMode="External"/><Relationship Id="rId204" Type="http://schemas.openxmlformats.org/officeDocument/2006/relationships/hyperlink" Target="https://www.boliga.dk/maegler/25278" TargetMode="External"/><Relationship Id="rId220" Type="http://schemas.openxmlformats.org/officeDocument/2006/relationships/hyperlink" Target="mailto:bolighandel@dslaw.dk" TargetMode="External"/><Relationship Id="rId15" Type="http://schemas.openxmlformats.org/officeDocument/2006/relationships/hyperlink" Target="https://www.boliga.dk/maegler/27891" TargetMode="External"/><Relationship Id="rId36" Type="http://schemas.openxmlformats.org/officeDocument/2006/relationships/hyperlink" Target="https://www.boliga.dk/maegler/27801" TargetMode="External"/><Relationship Id="rId57" Type="http://schemas.openxmlformats.org/officeDocument/2006/relationships/hyperlink" Target="https://www.boliga.dk/maegler/26902" TargetMode="External"/><Relationship Id="rId106" Type="http://schemas.openxmlformats.org/officeDocument/2006/relationships/hyperlink" Target="https://www.boliga.dk/maegler/27300" TargetMode="External"/><Relationship Id="rId127" Type="http://schemas.openxmlformats.org/officeDocument/2006/relationships/hyperlink" Target="https://www.boliga.dk/maegler/28207" TargetMode="External"/><Relationship Id="rId10" Type="http://schemas.openxmlformats.org/officeDocument/2006/relationships/hyperlink" Target="https://www.boliga.dk/maegler/28424" TargetMode="External"/><Relationship Id="rId31" Type="http://schemas.openxmlformats.org/officeDocument/2006/relationships/hyperlink" Target="https://www.boliga.dk/maegler/26590" TargetMode="External"/><Relationship Id="rId52" Type="http://schemas.openxmlformats.org/officeDocument/2006/relationships/hyperlink" Target="https://www.boliga.dk/maegler/29043" TargetMode="External"/><Relationship Id="rId73" Type="http://schemas.openxmlformats.org/officeDocument/2006/relationships/hyperlink" Target="https://www.boliga.dk/maegler/29108" TargetMode="External"/><Relationship Id="rId78" Type="http://schemas.openxmlformats.org/officeDocument/2006/relationships/hyperlink" Target="http://letboligsalg.dk/" TargetMode="External"/><Relationship Id="rId94" Type="http://schemas.openxmlformats.org/officeDocument/2006/relationships/hyperlink" Target="mailto:nikolai@vlasman.dk" TargetMode="External"/><Relationship Id="rId99" Type="http://schemas.openxmlformats.org/officeDocument/2006/relationships/hyperlink" Target="https://www.boliga.dk/maegler/26974" TargetMode="External"/><Relationship Id="rId101" Type="http://schemas.openxmlformats.org/officeDocument/2006/relationships/hyperlink" Target="https://www.boliga.dk/maegler/29097" TargetMode="External"/><Relationship Id="rId122" Type="http://schemas.openxmlformats.org/officeDocument/2006/relationships/hyperlink" Target="https://www.boliga.dk/maegler/26905" TargetMode="External"/><Relationship Id="rId143" Type="http://schemas.openxmlformats.org/officeDocument/2006/relationships/hyperlink" Target="https://www.boliga.dk/maegler/29037" TargetMode="External"/><Relationship Id="rId148" Type="http://schemas.openxmlformats.org/officeDocument/2006/relationships/hyperlink" Target="https://www.boliga.dk/maegler/21053" TargetMode="External"/><Relationship Id="rId164" Type="http://schemas.openxmlformats.org/officeDocument/2006/relationships/hyperlink" Target="https://www.boliga.dk/maegler/25982" TargetMode="External"/><Relationship Id="rId169" Type="http://schemas.openxmlformats.org/officeDocument/2006/relationships/hyperlink" Target="https://www.boliga.dk/maegler/22382" TargetMode="External"/><Relationship Id="rId185" Type="http://schemas.openxmlformats.org/officeDocument/2006/relationships/hyperlink" Target="https://www.boliga.dk/maegler/27495" TargetMode="External"/><Relationship Id="rId4" Type="http://schemas.openxmlformats.org/officeDocument/2006/relationships/hyperlink" Target="mailto:%20anne-mette@minbolighandel.dk" TargetMode="External"/><Relationship Id="rId9" Type="http://schemas.openxmlformats.org/officeDocument/2006/relationships/hyperlink" Target="https://www.boliga.dk/maegler/25819" TargetMode="External"/><Relationship Id="rId180" Type="http://schemas.openxmlformats.org/officeDocument/2006/relationships/hyperlink" Target="https://www.boliga.dk/maegler/26342" TargetMode="External"/><Relationship Id="rId210" Type="http://schemas.openxmlformats.org/officeDocument/2006/relationships/hyperlink" Target="https://www.boliga.dk/maegler/26698" TargetMode="External"/><Relationship Id="rId215" Type="http://schemas.openxmlformats.org/officeDocument/2006/relationships/hyperlink" Target="https://www.boliga.dk/maegler/29121" TargetMode="External"/><Relationship Id="rId26" Type="http://schemas.openxmlformats.org/officeDocument/2006/relationships/hyperlink" Target="https://www.boliga.dk/maegler/17119" TargetMode="External"/><Relationship Id="rId47" Type="http://schemas.openxmlformats.org/officeDocument/2006/relationships/hyperlink" Target="https://www.boliga.dk/maegler/17194" TargetMode="External"/><Relationship Id="rId68" Type="http://schemas.openxmlformats.org/officeDocument/2006/relationships/hyperlink" Target="https://www.boliga.dk/maegler/29034" TargetMode="External"/><Relationship Id="rId89" Type="http://schemas.openxmlformats.org/officeDocument/2006/relationships/hyperlink" Target="mailto:jg@mmliving.dk" TargetMode="External"/><Relationship Id="rId112" Type="http://schemas.openxmlformats.org/officeDocument/2006/relationships/hyperlink" Target="mailto:khw@wilstrupbolig.dk" TargetMode="External"/><Relationship Id="rId133" Type="http://schemas.openxmlformats.org/officeDocument/2006/relationships/hyperlink" Target="https://www.boliga.dk/maegler/27147" TargetMode="External"/><Relationship Id="rId154" Type="http://schemas.openxmlformats.org/officeDocument/2006/relationships/hyperlink" Target="https://www.boliga.dk/maegler/26991" TargetMode="External"/><Relationship Id="rId175" Type="http://schemas.openxmlformats.org/officeDocument/2006/relationships/hyperlink" Target="https://www.boliga.dk/maegler/25808" TargetMode="External"/><Relationship Id="rId196" Type="http://schemas.openxmlformats.org/officeDocument/2006/relationships/hyperlink" Target="https://www.boliga.dk/maegler/696" TargetMode="External"/><Relationship Id="rId200" Type="http://schemas.openxmlformats.org/officeDocument/2006/relationships/hyperlink" Target="https://www.boliga.dk/maegler/29036" TargetMode="External"/><Relationship Id="rId16" Type="http://schemas.openxmlformats.org/officeDocument/2006/relationships/hyperlink" Target="https://www.boliga.dk/maegler/27896" TargetMode="External"/><Relationship Id="rId221" Type="http://schemas.openxmlformats.org/officeDocument/2006/relationships/hyperlink" Target="https://www.boliga.dk/maegler/29132" TargetMode="External"/><Relationship Id="rId37" Type="http://schemas.openxmlformats.org/officeDocument/2006/relationships/hyperlink" Target="mailto:%20jonas@boligkompagniet.dk" TargetMode="External"/><Relationship Id="rId58" Type="http://schemas.openxmlformats.org/officeDocument/2006/relationships/hyperlink" Target="https://www.boliga.dk/maegler/22383" TargetMode="External"/><Relationship Id="rId79" Type="http://schemas.openxmlformats.org/officeDocument/2006/relationships/hyperlink" Target="https://www.boliga.dk/maegler/24567" TargetMode="External"/><Relationship Id="rId102" Type="http://schemas.openxmlformats.org/officeDocument/2006/relationships/hyperlink" Target="https://www.boliga.dk/maegler/27549" TargetMode="External"/><Relationship Id="rId123" Type="http://schemas.openxmlformats.org/officeDocument/2006/relationships/hyperlink" Target="https://www.boliga.dk/maegler/18759" TargetMode="External"/><Relationship Id="rId144" Type="http://schemas.openxmlformats.org/officeDocument/2006/relationships/hyperlink" Target="https://www.boliga.dk/maegler/27134" TargetMode="External"/><Relationship Id="rId90" Type="http://schemas.openxmlformats.org/officeDocument/2006/relationships/hyperlink" Target="https://www.boliga.dk/maegler/26076" TargetMode="External"/><Relationship Id="rId165" Type="http://schemas.openxmlformats.org/officeDocument/2006/relationships/hyperlink" Target="https://www.boliga.dk/maegler/26683" TargetMode="External"/><Relationship Id="rId186" Type="http://schemas.openxmlformats.org/officeDocument/2006/relationships/hyperlink" Target="https://www.boliga.dk/maegler/17673" TargetMode="External"/><Relationship Id="rId211" Type="http://schemas.openxmlformats.org/officeDocument/2006/relationships/hyperlink" Target="mailto:bjoerk@thobo.dk" TargetMode="External"/><Relationship Id="rId27" Type="http://schemas.openxmlformats.org/officeDocument/2006/relationships/hyperlink" Target="https://www.boliga.dk/maegler/26901" TargetMode="External"/><Relationship Id="rId48" Type="http://schemas.openxmlformats.org/officeDocument/2006/relationships/hyperlink" Target="mailto:info@jakobmunk-petersen.dk" TargetMode="External"/><Relationship Id="rId69" Type="http://schemas.openxmlformats.org/officeDocument/2006/relationships/hyperlink" Target="mailto:jps@jespernielsen.dk" TargetMode="External"/><Relationship Id="rId113" Type="http://schemas.openxmlformats.org/officeDocument/2006/relationships/hyperlink" Target="https://www.boliga.dk/maegler/25363" TargetMode="External"/><Relationship Id="rId134" Type="http://schemas.openxmlformats.org/officeDocument/2006/relationships/hyperlink" Target="https://www.boliga.dk/maegler/22389" TargetMode="External"/><Relationship Id="rId80" Type="http://schemas.openxmlformats.org/officeDocument/2006/relationships/hyperlink" Target="https://www.boliga.dk/maegler/18520" TargetMode="External"/><Relationship Id="rId155" Type="http://schemas.openxmlformats.org/officeDocument/2006/relationships/hyperlink" Target="https://www.boliga.dk/maegler/25252" TargetMode="External"/><Relationship Id="rId176" Type="http://schemas.openxmlformats.org/officeDocument/2006/relationships/hyperlink" Target="https://www.boliga.dk/maegler/25818" TargetMode="External"/><Relationship Id="rId197" Type="http://schemas.openxmlformats.org/officeDocument/2006/relationships/hyperlink" Target="https://www.boliga.dk/maegler/25410" TargetMode="External"/><Relationship Id="rId201" Type="http://schemas.openxmlformats.org/officeDocument/2006/relationships/hyperlink" Target="https://www.boliga.dk/maegler/29018" TargetMode="External"/><Relationship Id="rId222" Type="http://schemas.openxmlformats.org/officeDocument/2006/relationships/hyperlink" Target="https://www.boliga.dk/maegler/29129" TargetMode="External"/><Relationship Id="rId17" Type="http://schemas.openxmlformats.org/officeDocument/2006/relationships/hyperlink" Target="mailto:ame@robinhus.dk" TargetMode="External"/><Relationship Id="rId38" Type="http://schemas.openxmlformats.org/officeDocument/2006/relationships/hyperlink" Target="https://www.boliga.dk/maegler/28455" TargetMode="External"/><Relationship Id="rId59" Type="http://schemas.openxmlformats.org/officeDocument/2006/relationships/hyperlink" Target="https://www.boliga.dk/maegler/25217" TargetMode="External"/><Relationship Id="rId103" Type="http://schemas.openxmlformats.org/officeDocument/2006/relationships/hyperlink" Target="https://www.boliga.dk/maegler/883" TargetMode="External"/><Relationship Id="rId124" Type="http://schemas.openxmlformats.org/officeDocument/2006/relationships/hyperlink" Target="https://www.boliga.dk/maegler/26331" TargetMode="External"/><Relationship Id="rId70" Type="http://schemas.openxmlformats.org/officeDocument/2006/relationships/hyperlink" Target="https://www.boliga.dk/maegler/26993" TargetMode="External"/><Relationship Id="rId91" Type="http://schemas.openxmlformats.org/officeDocument/2006/relationships/hyperlink" Target="https://www.boliga.dk/maegler/24688" TargetMode="External"/><Relationship Id="rId145" Type="http://schemas.openxmlformats.org/officeDocument/2006/relationships/hyperlink" Target="https://www.boliga.dk/maegler/17166" TargetMode="External"/><Relationship Id="rId166" Type="http://schemas.openxmlformats.org/officeDocument/2006/relationships/hyperlink" Target="mailto:an@afbolig.dk" TargetMode="External"/><Relationship Id="rId187" Type="http://schemas.openxmlformats.org/officeDocument/2006/relationships/hyperlink" Target="https://www.boliga.dk/maegler/29027" TargetMode="External"/><Relationship Id="rId1" Type="http://schemas.openxmlformats.org/officeDocument/2006/relationships/hyperlink" Target="https://www.boliga.dk/maegler/26073" TargetMode="External"/><Relationship Id="rId212" Type="http://schemas.openxmlformats.org/officeDocument/2006/relationships/hyperlink" Target="https://www.boliga.dk/maegler/23853" TargetMode="External"/><Relationship Id="rId28" Type="http://schemas.openxmlformats.org/officeDocument/2006/relationships/hyperlink" Target="https://www.boliga.dk/maegler/25544" TargetMode="External"/><Relationship Id="rId49" Type="http://schemas.openxmlformats.org/officeDocument/2006/relationships/hyperlink" Target="https://www.boliga.dk/maegler/28697" TargetMode="External"/><Relationship Id="rId114" Type="http://schemas.openxmlformats.org/officeDocument/2006/relationships/hyperlink" Target="http://wohn.dk/" TargetMode="External"/><Relationship Id="rId60" Type="http://schemas.openxmlformats.org/officeDocument/2006/relationships/hyperlink" Target="https://www.boliga.dk/maegler/18206" TargetMode="External"/><Relationship Id="rId81" Type="http://schemas.openxmlformats.org/officeDocument/2006/relationships/hyperlink" Target="mailto:kristian@lutzau.dk" TargetMode="External"/><Relationship Id="rId135" Type="http://schemas.openxmlformats.org/officeDocument/2006/relationships/hyperlink" Target="https://www.boliga.dk/maegler/25810" TargetMode="External"/><Relationship Id="rId156" Type="http://schemas.openxmlformats.org/officeDocument/2006/relationships/hyperlink" Target="https://www.boliga.dk/maegler/26537" TargetMode="External"/><Relationship Id="rId177" Type="http://schemas.openxmlformats.org/officeDocument/2006/relationships/hyperlink" Target="https://www.boliga.dk/maegler/25225" TargetMode="External"/><Relationship Id="rId198" Type="http://schemas.openxmlformats.org/officeDocument/2006/relationships/hyperlink" Target="https://www.boliga.dk/maegler/25273" TargetMode="External"/><Relationship Id="rId202" Type="http://schemas.openxmlformats.org/officeDocument/2006/relationships/hyperlink" Target="https://www.boliga.dk/maegler/28698" TargetMode="External"/><Relationship Id="rId18" Type="http://schemas.openxmlformats.org/officeDocument/2006/relationships/hyperlink" Target="https://www.boliga.dk/maegler/27547" TargetMode="External"/><Relationship Id="rId39" Type="http://schemas.openxmlformats.org/officeDocument/2006/relationships/hyperlink" Target="https://www.boliga.dk/maegler/22381" TargetMode="External"/><Relationship Id="rId50" Type="http://schemas.openxmlformats.org/officeDocument/2006/relationships/hyperlink" Target="https://www.boliga.dk/maegler/20169" TargetMode="External"/><Relationship Id="rId104" Type="http://schemas.openxmlformats.org/officeDocument/2006/relationships/hyperlink" Target="https://www.boliga.dk/maegler/17151" TargetMode="External"/><Relationship Id="rId125" Type="http://schemas.openxmlformats.org/officeDocument/2006/relationships/hyperlink" Target="https://www.boliga.dk/maegler/26896" TargetMode="External"/><Relationship Id="rId146" Type="http://schemas.openxmlformats.org/officeDocument/2006/relationships/hyperlink" Target="https://www.boliga.dk/maegler/26338" TargetMode="External"/><Relationship Id="rId167" Type="http://schemas.openxmlformats.org/officeDocument/2006/relationships/hyperlink" Target="https://www.boliga.dk/maegler/25199" TargetMode="External"/><Relationship Id="rId188" Type="http://schemas.openxmlformats.org/officeDocument/2006/relationships/hyperlink" Target="https://www.boliga.dk/maegler/26895" TargetMode="External"/><Relationship Id="rId71" Type="http://schemas.openxmlformats.org/officeDocument/2006/relationships/hyperlink" Target="https://www.boliga.dk/maegler/26992" TargetMode="External"/><Relationship Id="rId92" Type="http://schemas.openxmlformats.org/officeDocument/2006/relationships/hyperlink" Target="mailto:nk@nicolajkejser.dk" TargetMode="External"/><Relationship Id="rId213" Type="http://schemas.openxmlformats.org/officeDocument/2006/relationships/hyperlink" Target="https://www.boliga.dk/maegler/24211" TargetMode="External"/><Relationship Id="rId2" Type="http://schemas.openxmlformats.org/officeDocument/2006/relationships/hyperlink" Target="https://www.boliga.dk/maegler/27601" TargetMode="External"/><Relationship Id="rId29" Type="http://schemas.openxmlformats.org/officeDocument/2006/relationships/hyperlink" Target="https://www.boliga.dk/maegler/28936" TargetMode="External"/><Relationship Id="rId40" Type="http://schemas.openxmlformats.org/officeDocument/2006/relationships/hyperlink" Target="https://www.boliga.dk/maegler/29110" TargetMode="External"/><Relationship Id="rId115" Type="http://schemas.openxmlformats.org/officeDocument/2006/relationships/hyperlink" Target="mailto:michael@boligraadgiver.dk" TargetMode="External"/><Relationship Id="rId136" Type="http://schemas.openxmlformats.org/officeDocument/2006/relationships/hyperlink" Target="https://www.boliga.dk/maegler/22391" TargetMode="External"/><Relationship Id="rId157" Type="http://schemas.openxmlformats.org/officeDocument/2006/relationships/hyperlink" Target="mailto:%20jonas@boligkompagniet.dk" TargetMode="External"/><Relationship Id="rId178" Type="http://schemas.openxmlformats.org/officeDocument/2006/relationships/hyperlink" Target="https://www.boliga.dk/maegler/25225" TargetMode="External"/><Relationship Id="rId61" Type="http://schemas.openxmlformats.org/officeDocument/2006/relationships/hyperlink" Target="https://www.boliga.dk/maegler/26945" TargetMode="External"/><Relationship Id="rId82" Type="http://schemas.openxmlformats.org/officeDocument/2006/relationships/hyperlink" Target="https://www.boliga.dk/maegler/17998" TargetMode="External"/><Relationship Id="rId199" Type="http://schemas.openxmlformats.org/officeDocument/2006/relationships/hyperlink" Target="mailto:evm@evaldmoeller.dk" TargetMode="External"/><Relationship Id="rId203" Type="http://schemas.openxmlformats.org/officeDocument/2006/relationships/hyperlink" Target="https://www.boliga.dk/maegler/29024" TargetMode="External"/><Relationship Id="rId19" Type="http://schemas.openxmlformats.org/officeDocument/2006/relationships/hyperlink" Target="https://www.boliga.dk/maegler/27526" TargetMode="External"/><Relationship Id="rId30" Type="http://schemas.openxmlformats.org/officeDocument/2006/relationships/hyperlink" Target="mailto:info@bernstorffestate.dk" TargetMode="External"/><Relationship Id="rId105" Type="http://schemas.openxmlformats.org/officeDocument/2006/relationships/hyperlink" Target="https://www.boliga.dk/maegler/25452" TargetMode="External"/><Relationship Id="rId126" Type="http://schemas.openxmlformats.org/officeDocument/2006/relationships/hyperlink" Target="https://www.boliga.dk/maegler/28901" TargetMode="External"/><Relationship Id="rId147" Type="http://schemas.openxmlformats.org/officeDocument/2006/relationships/hyperlink" Target="https://www.boliga.dk/maegler/26438" TargetMode="External"/><Relationship Id="rId168" Type="http://schemas.openxmlformats.org/officeDocument/2006/relationships/hyperlink" Target="https://www.boliga.dk/maegler/1722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oliga.dk/maegler/33" TargetMode="External"/><Relationship Id="rId117" Type="http://schemas.openxmlformats.org/officeDocument/2006/relationships/hyperlink" Target="https://www.boliga.dk/maegler/435" TargetMode="External"/><Relationship Id="rId21" Type="http://schemas.openxmlformats.org/officeDocument/2006/relationships/hyperlink" Target="https://home.dk/taastrup" TargetMode="External"/><Relationship Id="rId42" Type="http://schemas.openxmlformats.org/officeDocument/2006/relationships/hyperlink" Target="https://www.boliga.dk/maegler/902" TargetMode="External"/><Relationship Id="rId47" Type="http://schemas.openxmlformats.org/officeDocument/2006/relationships/hyperlink" Target="https://www.boliga.dk/maegler/24638" TargetMode="External"/><Relationship Id="rId63" Type="http://schemas.openxmlformats.org/officeDocument/2006/relationships/hyperlink" Target="https://www.boliga.dk/maegler/756" TargetMode="External"/><Relationship Id="rId68" Type="http://schemas.openxmlformats.org/officeDocument/2006/relationships/hyperlink" Target="https://www.boliga.dk/maegler/256" TargetMode="External"/><Relationship Id="rId84" Type="http://schemas.openxmlformats.org/officeDocument/2006/relationships/hyperlink" Target="https://www.boliga.dk/maegler/29122" TargetMode="External"/><Relationship Id="rId89" Type="http://schemas.openxmlformats.org/officeDocument/2006/relationships/hyperlink" Target="https://home.dk/thisted" TargetMode="External"/><Relationship Id="rId112" Type="http://schemas.openxmlformats.org/officeDocument/2006/relationships/hyperlink" Target="https://www.boliga.dk/maegler/679" TargetMode="External"/><Relationship Id="rId16" Type="http://schemas.openxmlformats.org/officeDocument/2006/relationships/hyperlink" Target="https://www.boliga.dk/maegler/465" TargetMode="External"/><Relationship Id="rId107" Type="http://schemas.openxmlformats.org/officeDocument/2006/relationships/hyperlink" Target="https://www.boliga.dk/maegler/939" TargetMode="External"/><Relationship Id="rId11" Type="http://schemas.openxmlformats.org/officeDocument/2006/relationships/hyperlink" Target="https://www.boliga.dk/maegler/777" TargetMode="External"/><Relationship Id="rId32" Type="http://schemas.openxmlformats.org/officeDocument/2006/relationships/hyperlink" Target="https://www.boliga.dk/maegler/151" TargetMode="External"/><Relationship Id="rId37" Type="http://schemas.openxmlformats.org/officeDocument/2006/relationships/hyperlink" Target="https://home.dk/frederiksvaerk" TargetMode="External"/><Relationship Id="rId53" Type="http://schemas.openxmlformats.org/officeDocument/2006/relationships/hyperlink" Target="https://www.boliga.dk/maegler/836" TargetMode="External"/><Relationship Id="rId58" Type="http://schemas.openxmlformats.org/officeDocument/2006/relationships/hyperlink" Target="https://home.dk/ebeltoft" TargetMode="External"/><Relationship Id="rId74" Type="http://schemas.openxmlformats.org/officeDocument/2006/relationships/hyperlink" Target="https://www.boliga.dk/maegler/19703" TargetMode="External"/><Relationship Id="rId79" Type="http://schemas.openxmlformats.org/officeDocument/2006/relationships/hyperlink" Target="https://www.boliga.dk/maegler/934" TargetMode="External"/><Relationship Id="rId102" Type="http://schemas.openxmlformats.org/officeDocument/2006/relationships/hyperlink" Target="https://home.dk/faaborgvej" TargetMode="External"/><Relationship Id="rId5" Type="http://schemas.openxmlformats.org/officeDocument/2006/relationships/hyperlink" Target="https://www.boliga.dk/maegler/415" TargetMode="External"/><Relationship Id="rId90" Type="http://schemas.openxmlformats.org/officeDocument/2006/relationships/hyperlink" Target="https://www.boliga.dk/maegler/1" TargetMode="External"/><Relationship Id="rId95" Type="http://schemas.openxmlformats.org/officeDocument/2006/relationships/hyperlink" Target="https://www.boliga.dk/maegler/580" TargetMode="External"/><Relationship Id="rId22" Type="http://schemas.openxmlformats.org/officeDocument/2006/relationships/hyperlink" Target="https://www.boliga.dk/maegler/24832" TargetMode="External"/><Relationship Id="rId27" Type="http://schemas.openxmlformats.org/officeDocument/2006/relationships/hyperlink" Target="https://www.boliga.dk/maegler/31" TargetMode="External"/><Relationship Id="rId43" Type="http://schemas.openxmlformats.org/officeDocument/2006/relationships/hyperlink" Target="https://www.boliga.dk/maegler/18600" TargetMode="External"/><Relationship Id="rId48" Type="http://schemas.openxmlformats.org/officeDocument/2006/relationships/hyperlink" Target="https://home.dk/hoersholm" TargetMode="External"/><Relationship Id="rId64" Type="http://schemas.openxmlformats.org/officeDocument/2006/relationships/hyperlink" Target="https://www.boliga.dk/maegler/140" TargetMode="External"/><Relationship Id="rId69" Type="http://schemas.openxmlformats.org/officeDocument/2006/relationships/hyperlink" Target="https://www.boliga.dk/maegler/879" TargetMode="External"/><Relationship Id="rId113" Type="http://schemas.openxmlformats.org/officeDocument/2006/relationships/hyperlink" Target="https://www.boliga.dk/maegler/287" TargetMode="External"/><Relationship Id="rId118" Type="http://schemas.openxmlformats.org/officeDocument/2006/relationships/hyperlink" Target="https://www.boliga.dk/maegler/952" TargetMode="External"/><Relationship Id="rId80" Type="http://schemas.openxmlformats.org/officeDocument/2006/relationships/hyperlink" Target="https://home.dk/broenderslev" TargetMode="External"/><Relationship Id="rId85" Type="http://schemas.openxmlformats.org/officeDocument/2006/relationships/hyperlink" Target="https://home.dk/hobro" TargetMode="External"/><Relationship Id="rId12" Type="http://schemas.openxmlformats.org/officeDocument/2006/relationships/hyperlink" Target="https://www.boliga.dk/maegler/18032" TargetMode="External"/><Relationship Id="rId17" Type="http://schemas.openxmlformats.org/officeDocument/2006/relationships/hyperlink" Target="https://www.boliga.dk/maegler/875" TargetMode="External"/><Relationship Id="rId33" Type="http://schemas.openxmlformats.org/officeDocument/2006/relationships/hyperlink" Target="https://home.dk/hoersholm" TargetMode="External"/><Relationship Id="rId38" Type="http://schemas.openxmlformats.org/officeDocument/2006/relationships/hyperlink" Target="https://www.boliga.dk/maegler/175" TargetMode="External"/><Relationship Id="rId59" Type="http://schemas.openxmlformats.org/officeDocument/2006/relationships/hyperlink" Target="https://www.boliga.dk/maegler/546" TargetMode="External"/><Relationship Id="rId103" Type="http://schemas.openxmlformats.org/officeDocument/2006/relationships/hyperlink" Target="https://www.boliga.dk/maegler/838" TargetMode="External"/><Relationship Id="rId108" Type="http://schemas.openxmlformats.org/officeDocument/2006/relationships/hyperlink" Target="https://www.boliga.dk/maegler/18601" TargetMode="External"/><Relationship Id="rId54" Type="http://schemas.openxmlformats.org/officeDocument/2006/relationships/hyperlink" Target="https://www.boliga.dk/maegler/25464" TargetMode="External"/><Relationship Id="rId70" Type="http://schemas.openxmlformats.org/officeDocument/2006/relationships/hyperlink" Target="https://www.boliga.dk/maegler/25493" TargetMode="External"/><Relationship Id="rId75" Type="http://schemas.openxmlformats.org/officeDocument/2006/relationships/hyperlink" Target="https://home.dk/hoejbjerg" TargetMode="External"/><Relationship Id="rId91" Type="http://schemas.openxmlformats.org/officeDocument/2006/relationships/hyperlink" Target="https://www.boliga.dk/maegler/1050" TargetMode="External"/><Relationship Id="rId96" Type="http://schemas.openxmlformats.org/officeDocument/2006/relationships/hyperlink" Target="https://www.boliga.dk/maegler/199" TargetMode="External"/><Relationship Id="rId1" Type="http://schemas.openxmlformats.org/officeDocument/2006/relationships/hyperlink" Target="https://home.dk/kastrupvej" TargetMode="External"/><Relationship Id="rId6" Type="http://schemas.openxmlformats.org/officeDocument/2006/relationships/hyperlink" Target="https://home.dk/amagerbro" TargetMode="External"/><Relationship Id="rId23" Type="http://schemas.openxmlformats.org/officeDocument/2006/relationships/hyperlink" Target="https://home.dk/hellerup" TargetMode="External"/><Relationship Id="rId28" Type="http://schemas.openxmlformats.org/officeDocument/2006/relationships/hyperlink" Target="https://home.dk/taastrup" TargetMode="External"/><Relationship Id="rId49" Type="http://schemas.openxmlformats.org/officeDocument/2006/relationships/hyperlink" Target="https://www.boliga.dk/maegler/213" TargetMode="External"/><Relationship Id="rId114" Type="http://schemas.openxmlformats.org/officeDocument/2006/relationships/hyperlink" Target="https://www.boliga.dk/maegler/704" TargetMode="External"/><Relationship Id="rId10" Type="http://schemas.openxmlformats.org/officeDocument/2006/relationships/hyperlink" Target="https://www.boliga.dk/maegler/863" TargetMode="External"/><Relationship Id="rId31" Type="http://schemas.openxmlformats.org/officeDocument/2006/relationships/hyperlink" Target="https://home.dk/hoersholm" TargetMode="External"/><Relationship Id="rId44" Type="http://schemas.openxmlformats.org/officeDocument/2006/relationships/hyperlink" Target="https://www.boliga.dk/maegler/344" TargetMode="External"/><Relationship Id="rId52" Type="http://schemas.openxmlformats.org/officeDocument/2006/relationships/hyperlink" Target="https://home.dk/nivaa" TargetMode="External"/><Relationship Id="rId60" Type="http://schemas.openxmlformats.org/officeDocument/2006/relationships/hyperlink" Target="https://home.dk/galten" TargetMode="External"/><Relationship Id="rId65" Type="http://schemas.openxmlformats.org/officeDocument/2006/relationships/hyperlink" Target="https://home.dk/hoejbjerg" TargetMode="External"/><Relationship Id="rId73" Type="http://schemas.openxmlformats.org/officeDocument/2006/relationships/hyperlink" Target="https://www.boliga.dk/maegler/666" TargetMode="External"/><Relationship Id="rId78" Type="http://schemas.openxmlformats.org/officeDocument/2006/relationships/hyperlink" Target="https://www.boliga.dk/maegler/996" TargetMode="External"/><Relationship Id="rId81" Type="http://schemas.openxmlformats.org/officeDocument/2006/relationships/hyperlink" Target="https://www.boliga.dk/maegler/964" TargetMode="External"/><Relationship Id="rId86" Type="http://schemas.openxmlformats.org/officeDocument/2006/relationships/hyperlink" Target="https://www.boliga.dk/maegler/640" TargetMode="External"/><Relationship Id="rId94" Type="http://schemas.openxmlformats.org/officeDocument/2006/relationships/hyperlink" Target="https://www.boliga.dk/maegler/294" TargetMode="External"/><Relationship Id="rId99" Type="http://schemas.openxmlformats.org/officeDocument/2006/relationships/hyperlink" Target="https://www.boliga.dk/maegler/578" TargetMode="External"/><Relationship Id="rId101" Type="http://schemas.openxmlformats.org/officeDocument/2006/relationships/hyperlink" Target="https://www.boliga.dk/maegler/1012" TargetMode="External"/><Relationship Id="rId4" Type="http://schemas.openxmlformats.org/officeDocument/2006/relationships/hyperlink" Target="mailto:siraa@home.dk" TargetMode="External"/><Relationship Id="rId9" Type="http://schemas.openxmlformats.org/officeDocument/2006/relationships/hyperlink" Target="https://www.boliga.dk/maegler/610" TargetMode="External"/><Relationship Id="rId13" Type="http://schemas.openxmlformats.org/officeDocument/2006/relationships/hyperlink" Target="https://www.boliga.dk/maegler/22754" TargetMode="External"/><Relationship Id="rId18" Type="http://schemas.openxmlformats.org/officeDocument/2006/relationships/hyperlink" Target="https://www.boliga.dk/maegler/542" TargetMode="External"/><Relationship Id="rId39" Type="http://schemas.openxmlformats.org/officeDocument/2006/relationships/hyperlink" Target="https://home.dk/hoersholm" TargetMode="External"/><Relationship Id="rId109" Type="http://schemas.openxmlformats.org/officeDocument/2006/relationships/hyperlink" Target="https://home.dk/skibhusvej" TargetMode="External"/><Relationship Id="rId34" Type="http://schemas.openxmlformats.org/officeDocument/2006/relationships/hyperlink" Target="https://www.boliga.dk/maegler/25516" TargetMode="External"/><Relationship Id="rId50" Type="http://schemas.openxmlformats.org/officeDocument/2006/relationships/hyperlink" Target="https://home.dk/frederiksvaerk" TargetMode="External"/><Relationship Id="rId55" Type="http://schemas.openxmlformats.org/officeDocument/2006/relationships/hyperlink" Target="https://www.boliga.dk/maegler/58" TargetMode="External"/><Relationship Id="rId76" Type="http://schemas.openxmlformats.org/officeDocument/2006/relationships/hyperlink" Target="https://www.boliga.dk/maegler/229" TargetMode="External"/><Relationship Id="rId97" Type="http://schemas.openxmlformats.org/officeDocument/2006/relationships/hyperlink" Target="https://home.dk/naestvedcity" TargetMode="External"/><Relationship Id="rId104" Type="http://schemas.openxmlformats.org/officeDocument/2006/relationships/hyperlink" Target="https://www.boliga.dk/maegler/474" TargetMode="External"/><Relationship Id="rId7" Type="http://schemas.openxmlformats.org/officeDocument/2006/relationships/hyperlink" Target="https://www.boliga.dk/maegler/918" TargetMode="External"/><Relationship Id="rId71" Type="http://schemas.openxmlformats.org/officeDocument/2006/relationships/hyperlink" Target="https://www.boliga.dk/maegler/26439" TargetMode="External"/><Relationship Id="rId92" Type="http://schemas.openxmlformats.org/officeDocument/2006/relationships/hyperlink" Target="https://www.boliga.dk/maegler/526" TargetMode="External"/><Relationship Id="rId2" Type="http://schemas.openxmlformats.org/officeDocument/2006/relationships/hyperlink" Target="https://www.boliga.dk/maegler/424" TargetMode="External"/><Relationship Id="rId29" Type="http://schemas.openxmlformats.org/officeDocument/2006/relationships/hyperlink" Target="https://www.boliga.dk/maegler/599" TargetMode="External"/><Relationship Id="rId24" Type="http://schemas.openxmlformats.org/officeDocument/2006/relationships/hyperlink" Target="https://www.boliga.dk/maegler/742" TargetMode="External"/><Relationship Id="rId40" Type="http://schemas.openxmlformats.org/officeDocument/2006/relationships/hyperlink" Target="https://www.boliga.dk/maegler/1085" TargetMode="External"/><Relationship Id="rId45" Type="http://schemas.openxmlformats.org/officeDocument/2006/relationships/hyperlink" Target="https://www.boliga.dk/maegler/147" TargetMode="External"/><Relationship Id="rId66" Type="http://schemas.openxmlformats.org/officeDocument/2006/relationships/hyperlink" Target="https://www.boliga.dk/maegler/587" TargetMode="External"/><Relationship Id="rId87" Type="http://schemas.openxmlformats.org/officeDocument/2006/relationships/hyperlink" Target="https://home.dk/stoevring" TargetMode="External"/><Relationship Id="rId110" Type="http://schemas.openxmlformats.org/officeDocument/2006/relationships/hyperlink" Target="https://www.boliga.dk/maegler/908" TargetMode="External"/><Relationship Id="rId115" Type="http://schemas.openxmlformats.org/officeDocument/2006/relationships/hyperlink" Target="https://home.dk/brejning" TargetMode="External"/><Relationship Id="rId61" Type="http://schemas.openxmlformats.org/officeDocument/2006/relationships/hyperlink" Target="https://www.boliga.dk/maegler/969" TargetMode="External"/><Relationship Id="rId82" Type="http://schemas.openxmlformats.org/officeDocument/2006/relationships/hyperlink" Target="https://www.boliga.dk/maegler/711" TargetMode="External"/><Relationship Id="rId19" Type="http://schemas.openxmlformats.org/officeDocument/2006/relationships/hyperlink" Target="https://www.boliga.dk/maegler/999" TargetMode="External"/><Relationship Id="rId14" Type="http://schemas.openxmlformats.org/officeDocument/2006/relationships/hyperlink" Target="https://www.boliga.dk/maegler/18811" TargetMode="External"/><Relationship Id="rId30" Type="http://schemas.openxmlformats.org/officeDocument/2006/relationships/hyperlink" Target="https://www.boliga.dk/maegler/21" TargetMode="External"/><Relationship Id="rId35" Type="http://schemas.openxmlformats.org/officeDocument/2006/relationships/hyperlink" Target="https://home.dk/frederiksvaerk" TargetMode="External"/><Relationship Id="rId56" Type="http://schemas.openxmlformats.org/officeDocument/2006/relationships/hyperlink" Target="https://www.boliga.dk/maegler/25597" TargetMode="External"/><Relationship Id="rId77" Type="http://schemas.openxmlformats.org/officeDocument/2006/relationships/hyperlink" Target="https://home.dk/hoejbjerg" TargetMode="External"/><Relationship Id="rId100" Type="http://schemas.openxmlformats.org/officeDocument/2006/relationships/hyperlink" Target="https://www.boliga.dk/maegler/274" TargetMode="External"/><Relationship Id="rId105" Type="http://schemas.openxmlformats.org/officeDocument/2006/relationships/hyperlink" Target="https://www.boliga.dk/maegler/372" TargetMode="External"/><Relationship Id="rId8" Type="http://schemas.openxmlformats.org/officeDocument/2006/relationships/hyperlink" Target="https://www.boliga.dk/maegler/218" TargetMode="External"/><Relationship Id="rId51" Type="http://schemas.openxmlformats.org/officeDocument/2006/relationships/hyperlink" Target="https://www.boliga.dk/maegler/961" TargetMode="External"/><Relationship Id="rId72" Type="http://schemas.openxmlformats.org/officeDocument/2006/relationships/hyperlink" Target="https://home.dk/silkeborg" TargetMode="External"/><Relationship Id="rId93" Type="http://schemas.openxmlformats.org/officeDocument/2006/relationships/hyperlink" Target="https://home.dk/koege" TargetMode="External"/><Relationship Id="rId98" Type="http://schemas.openxmlformats.org/officeDocument/2006/relationships/hyperlink" Target="https://www.boliga.dk/maegler/26176" TargetMode="External"/><Relationship Id="rId3" Type="http://schemas.openxmlformats.org/officeDocument/2006/relationships/hyperlink" Target="https://home.dk/sundby" TargetMode="External"/><Relationship Id="rId25" Type="http://schemas.openxmlformats.org/officeDocument/2006/relationships/hyperlink" Target="https://www.boliga.dk/maegler/1033" TargetMode="External"/><Relationship Id="rId46" Type="http://schemas.openxmlformats.org/officeDocument/2006/relationships/hyperlink" Target="https://home.dk/frederiksvaerk" TargetMode="External"/><Relationship Id="rId67" Type="http://schemas.openxmlformats.org/officeDocument/2006/relationships/hyperlink" Target="https://www.boliga.dk/maegler/25385" TargetMode="External"/><Relationship Id="rId116" Type="http://schemas.openxmlformats.org/officeDocument/2006/relationships/hyperlink" Target="https://www.boliga.dk/maegler/95" TargetMode="External"/><Relationship Id="rId20" Type="http://schemas.openxmlformats.org/officeDocument/2006/relationships/hyperlink" Target="https://www.boliga.dk/maegler/862" TargetMode="External"/><Relationship Id="rId41" Type="http://schemas.openxmlformats.org/officeDocument/2006/relationships/hyperlink" Target="https://www.boliga.dk/maegler/145" TargetMode="External"/><Relationship Id="rId62" Type="http://schemas.openxmlformats.org/officeDocument/2006/relationships/hyperlink" Target="https://www.boliga.dk/maegler/43" TargetMode="External"/><Relationship Id="rId83" Type="http://schemas.openxmlformats.org/officeDocument/2006/relationships/hyperlink" Target="https://www.boliga.dk/maegler/1000" TargetMode="External"/><Relationship Id="rId88" Type="http://schemas.openxmlformats.org/officeDocument/2006/relationships/hyperlink" Target="https://www.boliga.dk/maegler/25494" TargetMode="External"/><Relationship Id="rId111" Type="http://schemas.openxmlformats.org/officeDocument/2006/relationships/hyperlink" Target="https://home.dk/svendborg" TargetMode="External"/><Relationship Id="rId15" Type="http://schemas.openxmlformats.org/officeDocument/2006/relationships/hyperlink" Target="https://home.dk/sundbyvester" TargetMode="External"/><Relationship Id="rId36" Type="http://schemas.openxmlformats.org/officeDocument/2006/relationships/hyperlink" Target="https://www.boliga.dk/maegler/462" TargetMode="External"/><Relationship Id="rId57" Type="http://schemas.openxmlformats.org/officeDocument/2006/relationships/hyperlink" Target="https://www.boliga.dk/maegler/27755" TargetMode="External"/><Relationship Id="rId106" Type="http://schemas.openxmlformats.org/officeDocument/2006/relationships/hyperlink" Target="https://www.boliga.dk/maegler/574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khp@lokalbolig.dk" TargetMode="External"/><Relationship Id="rId18" Type="http://schemas.openxmlformats.org/officeDocument/2006/relationships/hyperlink" Target="https://www.boliga.dk/maegler/19236" TargetMode="External"/><Relationship Id="rId26" Type="http://schemas.openxmlformats.org/officeDocument/2006/relationships/hyperlink" Target="https://www.boliga.dk/maegler/19283" TargetMode="External"/><Relationship Id="rId39" Type="http://schemas.openxmlformats.org/officeDocument/2006/relationships/hyperlink" Target="https://www.boliga.dk/maegler/25590" TargetMode="External"/><Relationship Id="rId21" Type="http://schemas.openxmlformats.org/officeDocument/2006/relationships/hyperlink" Target="https://www.boliga.dk/maegler/24517" TargetMode="External"/><Relationship Id="rId34" Type="http://schemas.openxmlformats.org/officeDocument/2006/relationships/hyperlink" Target="https://www.boliga.dk/maegler/18900" TargetMode="External"/><Relationship Id="rId42" Type="http://schemas.openxmlformats.org/officeDocument/2006/relationships/hyperlink" Target="https://www.boliga.dk/maegler/19252" TargetMode="External"/><Relationship Id="rId47" Type="http://schemas.openxmlformats.org/officeDocument/2006/relationships/hyperlink" Target="mailto:aje@lokalbolig.dk" TargetMode="External"/><Relationship Id="rId50" Type="http://schemas.openxmlformats.org/officeDocument/2006/relationships/hyperlink" Target="https://www.boliga.dk/maegler/19258" TargetMode="External"/><Relationship Id="rId7" Type="http://schemas.openxmlformats.org/officeDocument/2006/relationships/hyperlink" Target="mailto:jc@lokalbolig.dk" TargetMode="External"/><Relationship Id="rId2" Type="http://schemas.openxmlformats.org/officeDocument/2006/relationships/hyperlink" Target="https://www.boliga.dk/maegler/19304" TargetMode="External"/><Relationship Id="rId16" Type="http://schemas.openxmlformats.org/officeDocument/2006/relationships/hyperlink" Target="https://www.boliga.dk/maegler/19251" TargetMode="External"/><Relationship Id="rId29" Type="http://schemas.openxmlformats.org/officeDocument/2006/relationships/hyperlink" Target="https://www.boliga.dk/maegler/19243" TargetMode="External"/><Relationship Id="rId11" Type="http://schemas.openxmlformats.org/officeDocument/2006/relationships/hyperlink" Target="https://www.boliga.dk/maegler/19259" TargetMode="External"/><Relationship Id="rId24" Type="http://schemas.openxmlformats.org/officeDocument/2006/relationships/hyperlink" Target="mailto:m@lokalbolig.dk" TargetMode="External"/><Relationship Id="rId32" Type="http://schemas.openxmlformats.org/officeDocument/2006/relationships/hyperlink" Target="https://www.boliga.dk/maegler/19257" TargetMode="External"/><Relationship Id="rId37" Type="http://schemas.openxmlformats.org/officeDocument/2006/relationships/hyperlink" Target="https://www.boliga.dk/maegler/26056" TargetMode="External"/><Relationship Id="rId40" Type="http://schemas.openxmlformats.org/officeDocument/2006/relationships/hyperlink" Target="https://www.boliga.dk/maegler/19250" TargetMode="External"/><Relationship Id="rId45" Type="http://schemas.openxmlformats.org/officeDocument/2006/relationships/hyperlink" Target="https://www.boliga.dk/maegler/28345" TargetMode="External"/><Relationship Id="rId5" Type="http://schemas.openxmlformats.org/officeDocument/2006/relationships/hyperlink" Target="https://www.boliga.dk/maegler/19307" TargetMode="External"/><Relationship Id="rId15" Type="http://schemas.openxmlformats.org/officeDocument/2006/relationships/hyperlink" Target="https://www.boliga.dk/maegler/19245" TargetMode="External"/><Relationship Id="rId23" Type="http://schemas.openxmlformats.org/officeDocument/2006/relationships/hyperlink" Target="https://www.boliga.dk/maegler/25223" TargetMode="External"/><Relationship Id="rId28" Type="http://schemas.openxmlformats.org/officeDocument/2006/relationships/hyperlink" Target="https://www.boliga.dk/maegler/19246" TargetMode="External"/><Relationship Id="rId36" Type="http://schemas.openxmlformats.org/officeDocument/2006/relationships/hyperlink" Target="https://www.boliga.dk/maegler/29086" TargetMode="External"/><Relationship Id="rId49" Type="http://schemas.openxmlformats.org/officeDocument/2006/relationships/hyperlink" Target="https://www.boliga.dk/maegler/25241" TargetMode="External"/><Relationship Id="rId10" Type="http://schemas.openxmlformats.org/officeDocument/2006/relationships/hyperlink" Target="https://www.boliga.dk/maegler/25214" TargetMode="External"/><Relationship Id="rId19" Type="http://schemas.openxmlformats.org/officeDocument/2006/relationships/hyperlink" Target="https://www.boliga.dk/maegler/19242" TargetMode="External"/><Relationship Id="rId31" Type="http://schemas.openxmlformats.org/officeDocument/2006/relationships/hyperlink" Target="mailto:m@lokalbolig.dk" TargetMode="External"/><Relationship Id="rId44" Type="http://schemas.openxmlformats.org/officeDocument/2006/relationships/hyperlink" Target="https://www.boliga.dk/maegler/25242" TargetMode="External"/><Relationship Id="rId4" Type="http://schemas.openxmlformats.org/officeDocument/2006/relationships/hyperlink" Target="https://www.boliga.dk/maegler/20289" TargetMode="External"/><Relationship Id="rId9" Type="http://schemas.openxmlformats.org/officeDocument/2006/relationships/hyperlink" Target="https://www.boliga.dk/maegler/25741" TargetMode="External"/><Relationship Id="rId14" Type="http://schemas.openxmlformats.org/officeDocument/2006/relationships/hyperlink" Target="https://www.boliga.dk/maegler/25215" TargetMode="External"/><Relationship Id="rId22" Type="http://schemas.openxmlformats.org/officeDocument/2006/relationships/hyperlink" Target="mailto:m@lokalbolig.dk" TargetMode="External"/><Relationship Id="rId27" Type="http://schemas.openxmlformats.org/officeDocument/2006/relationships/hyperlink" Target="https://www.boliga.dk/maegler/23642" TargetMode="External"/><Relationship Id="rId30" Type="http://schemas.openxmlformats.org/officeDocument/2006/relationships/hyperlink" Target="https://www.boliga.dk/maegler/25196" TargetMode="External"/><Relationship Id="rId35" Type="http://schemas.openxmlformats.org/officeDocument/2006/relationships/hyperlink" Target="https://www.boliga.dk/maegler/28357" TargetMode="External"/><Relationship Id="rId43" Type="http://schemas.openxmlformats.org/officeDocument/2006/relationships/hyperlink" Target="https://www.boliga.dk/maegler/25582" TargetMode="External"/><Relationship Id="rId48" Type="http://schemas.openxmlformats.org/officeDocument/2006/relationships/hyperlink" Target="https://www.boliga.dk/maegler/19237" TargetMode="External"/><Relationship Id="rId8" Type="http://schemas.openxmlformats.org/officeDocument/2006/relationships/hyperlink" Target="https://www.boliga.dk/maegler/19253" TargetMode="External"/><Relationship Id="rId3" Type="http://schemas.openxmlformats.org/officeDocument/2006/relationships/hyperlink" Target="https://www.boliga.dk/maegler/19238" TargetMode="External"/><Relationship Id="rId12" Type="http://schemas.openxmlformats.org/officeDocument/2006/relationships/hyperlink" Target="https://www.boliga.dk/maegler/19303" TargetMode="External"/><Relationship Id="rId17" Type="http://schemas.openxmlformats.org/officeDocument/2006/relationships/hyperlink" Target="https://www.boliga.dk/maegler/19255" TargetMode="External"/><Relationship Id="rId25" Type="http://schemas.openxmlformats.org/officeDocument/2006/relationships/hyperlink" Target="https://www.boliga.dk/maegler/19241" TargetMode="External"/><Relationship Id="rId33" Type="http://schemas.openxmlformats.org/officeDocument/2006/relationships/hyperlink" Target="https://www.boliga.dk/maegler/25222" TargetMode="External"/><Relationship Id="rId38" Type="http://schemas.openxmlformats.org/officeDocument/2006/relationships/hyperlink" Target="https://www.boliga.dk/maegler/23561" TargetMode="External"/><Relationship Id="rId46" Type="http://schemas.openxmlformats.org/officeDocument/2006/relationships/hyperlink" Target="https://www.boliga.dk/maegler/21930" TargetMode="External"/><Relationship Id="rId20" Type="http://schemas.openxmlformats.org/officeDocument/2006/relationships/hyperlink" Target="https://www.boliga.dk/maegler/19233" TargetMode="External"/><Relationship Id="rId41" Type="http://schemas.openxmlformats.org/officeDocument/2006/relationships/hyperlink" Target="https://www.boliga.dk/maegler/19254" TargetMode="External"/><Relationship Id="rId1" Type="http://schemas.openxmlformats.org/officeDocument/2006/relationships/hyperlink" Target="https://www.boliga.dk/maegler/19234" TargetMode="External"/><Relationship Id="rId6" Type="http://schemas.openxmlformats.org/officeDocument/2006/relationships/hyperlink" Target="https://www.boliga.dk/maegler/1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D31"/>
  <sheetViews>
    <sheetView workbookViewId="0"/>
  </sheetViews>
  <sheetFormatPr defaultColWidth="12.6328125" defaultRowHeight="15.75" customHeight="1" x14ac:dyDescent="0.25"/>
  <sheetData>
    <row r="1" spans="1:30" ht="15.75" customHeight="1" x14ac:dyDescent="0.35">
      <c r="A1" s="1" t="s">
        <v>0</v>
      </c>
      <c r="B1" s="2" t="s">
        <v>1</v>
      </c>
      <c r="C1" s="10" t="s">
        <v>2</v>
      </c>
      <c r="D1" s="9" t="s">
        <v>3</v>
      </c>
      <c r="E1" s="10" t="s">
        <v>4</v>
      </c>
      <c r="F1" s="2" t="s">
        <v>5</v>
      </c>
      <c r="G1" s="11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7" t="s">
        <v>28</v>
      </c>
      <c r="AD1" s="8"/>
    </row>
    <row r="2" spans="1:30" ht="15.75" customHeight="1" x14ac:dyDescent="0.55000000000000004">
      <c r="A2" s="13" t="str">
        <f ca="1">IFERROR(__xludf.DUMMYFUNCTION("FILTER(EDC!A2:AC159,EDC!Y2:Y159=""Ja"")"),"Camilla")</f>
        <v>Camilla</v>
      </c>
      <c r="B2" s="14" t="str">
        <f ca="1">IFERROR(__xludf.DUMMYFUNCTION("""COMPUTED_VALUE"""),"EDC Living, Dragør")</f>
        <v>EDC Living, Dragør</v>
      </c>
      <c r="C2" s="14">
        <f ca="1">IFERROR(__xludf.DUMMYFUNCTION("""COMPUTED_VALUE"""),31936071)</f>
        <v>31936071</v>
      </c>
      <c r="D2" s="14" t="str">
        <f ca="1">IFERROR(__xludf.DUMMYFUNCTION("""COMPUTED_VALUE"""),"MG-SJ: 3.499,-")</f>
        <v>MG-SJ: 3.499,-</v>
      </c>
      <c r="E2" s="14">
        <f ca="1">IFERROR(__xludf.DUMMYFUNCTION("""COMPUTED_VALUE"""),1202)</f>
        <v>1202</v>
      </c>
      <c r="F2" s="14" t="str">
        <f ca="1">IFERROR(__xludf.DUMMYFUNCTION("""COMPUTED_VALUE"""),"Sam Craptree")</f>
        <v>Sam Craptree</v>
      </c>
      <c r="G2" s="14" t="str">
        <f ca="1">IFERROR(__xludf.DUMMYFUNCTION("""COMPUTED_VALUE"""),"samc@edc.dk")</f>
        <v>samc@edc.dk</v>
      </c>
      <c r="H2" s="14" t="str">
        <f ca="1">IFERROR(__xludf.DUMMYFUNCTION("""COMPUTED_VALUE"""),"24 62 68 62")</f>
        <v>24 62 68 62</v>
      </c>
      <c r="I2" s="14" t="str">
        <f ca="1">IFERROR(__xludf.DUMMYFUNCTION("""COMPUTED_VALUE"""),"Vestgrønningen 2")</f>
        <v>Vestgrønningen 2</v>
      </c>
      <c r="J2" s="14">
        <f ca="1">IFERROR(__xludf.DUMMYFUNCTION("""COMPUTED_VALUE"""),2791)</f>
        <v>2791</v>
      </c>
      <c r="K2" s="14" t="str">
        <f ca="1">IFERROR(__xludf.DUMMYFUNCTION("""COMPUTED_VALUE"""),"Dragør")</f>
        <v>Dragør</v>
      </c>
      <c r="L2" s="14" t="str">
        <f ca="1">IFERROR(__xludf.DUMMYFUNCTION("""COMPUTED_VALUE"""),"Dragør")</f>
        <v>Dragør</v>
      </c>
      <c r="M2" s="14" t="str">
        <f ca="1">IFERROR(__xludf.DUMMYFUNCTION("""COMPUTED_VALUE"""),"København By")</f>
        <v>København By</v>
      </c>
      <c r="N2" s="14" t="str">
        <f ca="1">IFERROR(__xludf.DUMMYFUNCTION("""COMPUTED_VALUE"""),"Hovedstaden")</f>
        <v>Hovedstaden</v>
      </c>
      <c r="O2" s="14" t="str">
        <f ca="1">IFERROR(__xludf.DUMMYFUNCTION("""COMPUTED_VALUE"""),"32 53 11 00")</f>
        <v>32 53 11 00</v>
      </c>
      <c r="P2" s="14" t="str">
        <f ca="1">IFERROR(__xludf.DUMMYFUNCTION("""COMPUTED_VALUE"""),"293@edc.dk")</f>
        <v>293@edc.dk</v>
      </c>
      <c r="Q2" s="15" t="str">
        <f ca="1">IFERROR(__xludf.DUMMYFUNCTION("""COMPUTED_VALUE"""),"https://www.boliga.dk/maegler/85")</f>
        <v>https://www.boliga.dk/maegler/85</v>
      </c>
      <c r="R2" s="14" t="str">
        <f ca="1">IFERROR(__xludf.DUMMYFUNCTION("""COMPUTED_VALUE"""),"-")</f>
        <v>-</v>
      </c>
      <c r="S2" s="14" t="str">
        <f ca="1">IFERROR(__xludf.DUMMYFUNCTION("""COMPUTED_VALUE"""),"-")</f>
        <v>-</v>
      </c>
      <c r="T2" s="14" t="str">
        <f ca="1">IFERROR(__xludf.DUMMYFUNCTION("""COMPUTED_VALUE"""),"-")</f>
        <v>-</v>
      </c>
      <c r="U2" s="14">
        <f ca="1">IFERROR(__xludf.DUMMYFUNCTION("""COMPUTED_VALUE"""),10)</f>
        <v>10</v>
      </c>
      <c r="V2" s="14" t="str">
        <f ca="1">IFERROR(__xludf.DUMMYFUNCTION("""COMPUTED_VALUE"""),"2770, 2791")</f>
        <v>2770, 2791</v>
      </c>
      <c r="W2" s="14">
        <f ca="1">IFERROR(__xludf.DUMMYFUNCTION("""COMPUTED_VALUE"""),27)</f>
        <v>27</v>
      </c>
      <c r="X2" s="14" t="str">
        <f ca="1">IFERROR(__xludf.DUMMYFUNCTION("""COMPUTED_VALUE"""),"2770, 2300, 2791")</f>
        <v>2770, 2300, 2791</v>
      </c>
      <c r="Y2" s="14" t="str">
        <f ca="1">IFERROR(__xludf.DUMMYFUNCTION("""COMPUTED_VALUE"""),"ja")</f>
        <v>ja</v>
      </c>
      <c r="Z2" s="14"/>
      <c r="AA2" s="16"/>
      <c r="AB2" s="14" t="str">
        <f ca="1">IFERROR(__xludf.DUMMYFUNCTION("""COMPUTED_VALUE"""),"x")</f>
        <v>x</v>
      </c>
      <c r="AC2" s="14" t="str">
        <f ca="1">IFERROR(__xludf.DUMMYFUNCTION("""COMPUTED_VALUE"""),"x")</f>
        <v>x</v>
      </c>
    </row>
    <row r="3" spans="1:30" ht="15.75" customHeight="1" x14ac:dyDescent="0.25">
      <c r="A3" s="14" t="str">
        <f ca="1">IFERROR(__xludf.DUMMYFUNCTION("""COMPUTED_VALUE"""),"Camilla")</f>
        <v>Camilla</v>
      </c>
      <c r="B3" s="14" t="str">
        <f ca="1">IFERROR(__xludf.DUMMYFUNCTION("""COMPUTED_VALUE"""),"EDC Sauerberg &amp; Gade, Kastrup")</f>
        <v>EDC Sauerberg &amp; Gade, Kastrup</v>
      </c>
      <c r="C3" s="14">
        <f ca="1">IFERROR(__xludf.DUMMYFUNCTION("""COMPUTED_VALUE"""),37141496)</f>
        <v>37141496</v>
      </c>
      <c r="D3" s="14" t="str">
        <f ca="1">IFERROR(__xludf.DUMMYFUNCTION("""COMPUTED_VALUE"""),"MG-SJ: 3.499,-")</f>
        <v>MG-SJ: 3.499,-</v>
      </c>
      <c r="E3" s="14">
        <f ca="1">IFERROR(__xludf.DUMMYFUNCTION("""COMPUTED_VALUE"""),1202)</f>
        <v>1202</v>
      </c>
      <c r="F3" s="14" t="str">
        <f ca="1">IFERROR(__xludf.DUMMYFUNCTION("""COMPUTED_VALUE"""),"Boye Gade")</f>
        <v>Boye Gade</v>
      </c>
      <c r="G3" s="14" t="str">
        <f ca="1">IFERROR(__xludf.DUMMYFUNCTION("""COMPUTED_VALUE"""),"bg.277@edc.dk")</f>
        <v>bg.277@edc.dk</v>
      </c>
      <c r="H3" s="14" t="str">
        <f ca="1">IFERROR(__xludf.DUMMYFUNCTION("""COMPUTED_VALUE"""),"40 25 10 32")</f>
        <v>40 25 10 32</v>
      </c>
      <c r="I3" s="14" t="str">
        <f ca="1">IFERROR(__xludf.DUMMYFUNCTION("""COMPUTED_VALUE"""),"Amager Landevej 90A")</f>
        <v>Amager Landevej 90A</v>
      </c>
      <c r="J3" s="14">
        <f ca="1">IFERROR(__xludf.DUMMYFUNCTION("""COMPUTED_VALUE"""),2770)</f>
        <v>2770</v>
      </c>
      <c r="K3" s="14" t="str">
        <f ca="1">IFERROR(__xludf.DUMMYFUNCTION("""COMPUTED_VALUE"""),"Kastrup")</f>
        <v>Kastrup</v>
      </c>
      <c r="L3" s="14" t="str">
        <f ca="1">IFERROR(__xludf.DUMMYFUNCTION("""COMPUTED_VALUE"""),"Tårnby")</f>
        <v>Tårnby</v>
      </c>
      <c r="M3" s="14" t="str">
        <f ca="1">IFERROR(__xludf.DUMMYFUNCTION("""COMPUTED_VALUE"""),"København By")</f>
        <v>København By</v>
      </c>
      <c r="N3" s="14" t="str">
        <f ca="1">IFERROR(__xludf.DUMMYFUNCTION("""COMPUTED_VALUE"""),"Hovedstaden")</f>
        <v>Hovedstaden</v>
      </c>
      <c r="O3" s="14" t="str">
        <f ca="1">IFERROR(__xludf.DUMMYFUNCTION("""COMPUTED_VALUE"""),"32 50 02 82")</f>
        <v>32 50 02 82</v>
      </c>
      <c r="P3" s="14" t="str">
        <f ca="1">IFERROR(__xludf.DUMMYFUNCTION("""COMPUTED_VALUE"""),"277@edc.dk")</f>
        <v>277@edc.dk</v>
      </c>
      <c r="Q3" s="15" t="str">
        <f ca="1">IFERROR(__xludf.DUMMYFUNCTION("""COMPUTED_VALUE"""),"https://www.boliga.dk/maegler/938")</f>
        <v>https://www.boliga.dk/maegler/938</v>
      </c>
      <c r="R3" s="14" t="str">
        <f ca="1">IFERROR(__xludf.DUMMYFUNCTION("""COMPUTED_VALUE"""),"-")</f>
        <v>-</v>
      </c>
      <c r="S3" s="14" t="str">
        <f ca="1">IFERROR(__xludf.DUMMYFUNCTION("""COMPUTED_VALUE"""),"-")</f>
        <v>-</v>
      </c>
      <c r="T3" s="14" t="str">
        <f ca="1">IFERROR(__xludf.DUMMYFUNCTION("""COMPUTED_VALUE"""),"-")</f>
        <v>-</v>
      </c>
      <c r="U3" s="14">
        <f ca="1">IFERROR(__xludf.DUMMYFUNCTION("""COMPUTED_VALUE"""),7)</f>
        <v>7</v>
      </c>
      <c r="V3" s="14">
        <f ca="1">IFERROR(__xludf.DUMMYFUNCTION("""COMPUTED_VALUE"""),2770)</f>
        <v>2770</v>
      </c>
      <c r="W3" s="14">
        <f ca="1">IFERROR(__xludf.DUMMYFUNCTION("""COMPUTED_VALUE"""),16)</f>
        <v>16</v>
      </c>
      <c r="X3" s="14" t="str">
        <f ca="1">IFERROR(__xludf.DUMMYFUNCTION("""COMPUTED_VALUE"""),"2300, 2770")</f>
        <v>2300, 2770</v>
      </c>
      <c r="Y3" s="14" t="str">
        <f ca="1">IFERROR(__xludf.DUMMYFUNCTION("""COMPUTED_VALUE"""),"ja")</f>
        <v>ja</v>
      </c>
      <c r="Z3" s="14"/>
      <c r="AA3" s="16"/>
      <c r="AB3" s="14" t="str">
        <f ca="1">IFERROR(__xludf.DUMMYFUNCTION("""COMPUTED_VALUE"""),"x")</f>
        <v>x</v>
      </c>
      <c r="AC3" s="14" t="str">
        <f ca="1">IFERROR(__xludf.DUMMYFUNCTION("""COMPUTED_VALUE"""),"x")</f>
        <v>x</v>
      </c>
    </row>
    <row r="4" spans="1:30" ht="15.75" customHeight="1" x14ac:dyDescent="0.25">
      <c r="A4" s="14" t="str">
        <f ca="1">IFERROR(__xludf.DUMMYFUNCTION("""COMPUTED_VALUE"""),"Camilla")</f>
        <v>Camilla</v>
      </c>
      <c r="B4" s="14" t="str">
        <f ca="1">IFERROR(__xludf.DUMMYFUNCTION("""COMPUTED_VALUE"""),"EDC Living, Kastrup")</f>
        <v>EDC Living, Kastrup</v>
      </c>
      <c r="C4" s="14">
        <f ca="1">IFERROR(__xludf.DUMMYFUNCTION("""COMPUTED_VALUE"""),31936071)</f>
        <v>31936071</v>
      </c>
      <c r="D4" s="14" t="str">
        <f ca="1">IFERROR(__xludf.DUMMYFUNCTION("""COMPUTED_VALUE"""),"MG-SJ: 3.499,-")</f>
        <v>MG-SJ: 3.499,-</v>
      </c>
      <c r="E4" s="14">
        <f ca="1">IFERROR(__xludf.DUMMYFUNCTION("""COMPUTED_VALUE"""),1202)</f>
        <v>1202</v>
      </c>
      <c r="F4" s="14" t="str">
        <f ca="1">IFERROR(__xludf.DUMMYFUNCTION("""COMPUTED_VALUE"""),"Sam Craptree")</f>
        <v>Sam Craptree</v>
      </c>
      <c r="G4" s="14" t="str">
        <f ca="1">IFERROR(__xludf.DUMMYFUNCTION("""COMPUTED_VALUE"""),"samc@edc.dk")</f>
        <v>samc@edc.dk</v>
      </c>
      <c r="H4" s="14" t="str">
        <f ca="1">IFERROR(__xludf.DUMMYFUNCTION("""COMPUTED_VALUE"""),"24 62 68 62")</f>
        <v>24 62 68 62</v>
      </c>
      <c r="I4" s="14" t="str">
        <f ca="1">IFERROR(__xludf.DUMMYFUNCTION("""COMPUTED_VALUE"""),"Kongelundsvej 297")</f>
        <v>Kongelundsvej 297</v>
      </c>
      <c r="J4" s="14">
        <f ca="1">IFERROR(__xludf.DUMMYFUNCTION("""COMPUTED_VALUE"""),2770)</f>
        <v>2770</v>
      </c>
      <c r="K4" s="14" t="str">
        <f ca="1">IFERROR(__xludf.DUMMYFUNCTION("""COMPUTED_VALUE"""),"Kastrup")</f>
        <v>Kastrup</v>
      </c>
      <c r="L4" s="14" t="str">
        <f ca="1">IFERROR(__xludf.DUMMYFUNCTION("""COMPUTED_VALUE"""),"Tårnby")</f>
        <v>Tårnby</v>
      </c>
      <c r="M4" s="14" t="str">
        <f ca="1">IFERROR(__xludf.DUMMYFUNCTION("""COMPUTED_VALUE"""),"København By")</f>
        <v>København By</v>
      </c>
      <c r="N4" s="14" t="str">
        <f ca="1">IFERROR(__xludf.DUMMYFUNCTION("""COMPUTED_VALUE"""),"Hovedstaden")</f>
        <v>Hovedstaden</v>
      </c>
      <c r="O4" s="14" t="str">
        <f ca="1">IFERROR(__xludf.DUMMYFUNCTION("""COMPUTED_VALUE"""),"32 50 25 25")</f>
        <v>32 50 25 25</v>
      </c>
      <c r="P4" s="14" t="str">
        <f ca="1">IFERROR(__xludf.DUMMYFUNCTION("""COMPUTED_VALUE"""),"276@edc.dk")</f>
        <v>276@edc.dk</v>
      </c>
      <c r="Q4" s="15" t="str">
        <f ca="1">IFERROR(__xludf.DUMMYFUNCTION("""COMPUTED_VALUE"""),"https://www.boliga.dk/maegler/703")</f>
        <v>https://www.boliga.dk/maegler/703</v>
      </c>
      <c r="R4" s="14" t="str">
        <f ca="1">IFERROR(__xludf.DUMMYFUNCTION("""COMPUTED_VALUE"""),"-")</f>
        <v>-</v>
      </c>
      <c r="S4" s="14" t="str">
        <f ca="1">IFERROR(__xludf.DUMMYFUNCTION("""COMPUTED_VALUE"""),"-")</f>
        <v>-</v>
      </c>
      <c r="T4" s="14" t="str">
        <f ca="1">IFERROR(__xludf.DUMMYFUNCTION("""COMPUTED_VALUE"""),"-")</f>
        <v>-</v>
      </c>
      <c r="U4" s="14">
        <f ca="1">IFERROR(__xludf.DUMMYFUNCTION("""COMPUTED_VALUE"""),3)</f>
        <v>3</v>
      </c>
      <c r="V4" s="14">
        <f ca="1">IFERROR(__xludf.DUMMYFUNCTION("""COMPUTED_VALUE"""),2770)</f>
        <v>2770</v>
      </c>
      <c r="W4" s="14">
        <f ca="1">IFERROR(__xludf.DUMMYFUNCTION("""COMPUTED_VALUE"""),5)</f>
        <v>5</v>
      </c>
      <c r="X4" s="14">
        <f ca="1">IFERROR(__xludf.DUMMYFUNCTION("""COMPUTED_VALUE"""),2770)</f>
        <v>2770</v>
      </c>
      <c r="Y4" s="14" t="str">
        <f ca="1">IFERROR(__xludf.DUMMYFUNCTION("""COMPUTED_VALUE"""),"ja")</f>
        <v>ja</v>
      </c>
      <c r="Z4" s="14"/>
      <c r="AA4" s="16"/>
      <c r="AB4" s="14" t="str">
        <f ca="1">IFERROR(__xludf.DUMMYFUNCTION("""COMPUTED_VALUE"""),"x")</f>
        <v>x</v>
      </c>
      <c r="AC4" s="14" t="str">
        <f ca="1">IFERROR(__xludf.DUMMYFUNCTION("""COMPUTED_VALUE"""),"x")</f>
        <v>x</v>
      </c>
    </row>
    <row r="5" spans="1:30" ht="15.75" customHeight="1" x14ac:dyDescent="0.25">
      <c r="A5" s="14" t="str">
        <f ca="1">IFERROR(__xludf.DUMMYFUNCTION("""COMPUTED_VALUE"""),"Camilla")</f>
        <v>Camilla</v>
      </c>
      <c r="B5" s="14" t="str">
        <f ca="1">IFERROR(__xludf.DUMMYFUNCTION("""COMPUTED_VALUE"""),"EDC Morten Jepsen")</f>
        <v>EDC Morten Jepsen</v>
      </c>
      <c r="C5" s="14">
        <f ca="1">IFERROR(__xludf.DUMMYFUNCTION("""COMPUTED_VALUE"""),34319421)</f>
        <v>34319421</v>
      </c>
      <c r="D5" s="14" t="str">
        <f ca="1">IFERROR(__xludf.DUMMYFUNCTION("""COMPUTED_VALUE"""),"MG-SJ: 3.499,-")</f>
        <v>MG-SJ: 3.499,-</v>
      </c>
      <c r="E5" s="14">
        <f ca="1">IFERROR(__xludf.DUMMYFUNCTION("""COMPUTED_VALUE"""),1202)</f>
        <v>1202</v>
      </c>
      <c r="F5" s="14" t="str">
        <f ca="1">IFERROR(__xludf.DUMMYFUNCTION("""COMPUTED_VALUE"""),"Morten Jepsen")</f>
        <v>Morten Jepsen</v>
      </c>
      <c r="G5" s="14" t="str">
        <f ca="1">IFERROR(__xludf.DUMMYFUNCTION("""COMPUTED_VALUE"""),"mojep@edc.dk")</f>
        <v>mojep@edc.dk</v>
      </c>
      <c r="H5" s="14" t="str">
        <f ca="1">IFERROR(__xludf.DUMMYFUNCTION("""COMPUTED_VALUE"""),"30 50 40 39")</f>
        <v>30 50 40 39</v>
      </c>
      <c r="I5" s="14" t="str">
        <f ca="1">IFERROR(__xludf.DUMMYFUNCTION("""COMPUTED_VALUE"""),"Jernbanegade 8")</f>
        <v>Jernbanegade 8</v>
      </c>
      <c r="J5" s="14">
        <f ca="1">IFERROR(__xludf.DUMMYFUNCTION("""COMPUTED_VALUE"""),3480)</f>
        <v>3480</v>
      </c>
      <c r="K5" s="14" t="str">
        <f ca="1">IFERROR(__xludf.DUMMYFUNCTION("""COMPUTED_VALUE"""),"Fredensborg")</f>
        <v>Fredensborg</v>
      </c>
      <c r="L5" s="14" t="str">
        <f ca="1">IFERROR(__xludf.DUMMYFUNCTION("""COMPUTED_VALUE"""),"Fredensborg")</f>
        <v>Fredensborg</v>
      </c>
      <c r="M5" s="14" t="str">
        <f ca="1">IFERROR(__xludf.DUMMYFUNCTION("""COMPUTED_VALUE"""),"Nordsjælland")</f>
        <v>Nordsjælland</v>
      </c>
      <c r="N5" s="14" t="str">
        <f ca="1">IFERROR(__xludf.DUMMYFUNCTION("""COMPUTED_VALUE"""),"Hovedstaden")</f>
        <v>Hovedstaden</v>
      </c>
      <c r="O5" s="14" t="str">
        <f ca="1">IFERROR(__xludf.DUMMYFUNCTION("""COMPUTED_VALUE"""),"48 48 11 50")</f>
        <v>48 48 11 50</v>
      </c>
      <c r="P5" s="14" t="str">
        <f ca="1">IFERROR(__xludf.DUMMYFUNCTION("""COMPUTED_VALUE"""),"353@edc.dk")</f>
        <v>353@edc.dk</v>
      </c>
      <c r="Q5" s="15" t="str">
        <f ca="1">IFERROR(__xludf.DUMMYFUNCTION("""COMPUTED_VALUE"""),"https://www.boliga.dk/maegler/992")</f>
        <v>https://www.boliga.dk/maegler/992</v>
      </c>
      <c r="R5" s="14" t="str">
        <f ca="1">IFERROR(__xludf.DUMMYFUNCTION("""COMPUTED_VALUE"""),"-")</f>
        <v>-</v>
      </c>
      <c r="S5" s="14" t="str">
        <f ca="1">IFERROR(__xludf.DUMMYFUNCTION("""COMPUTED_VALUE"""),"-")</f>
        <v>-</v>
      </c>
      <c r="T5" s="14" t="str">
        <f ca="1">IFERROR(__xludf.DUMMYFUNCTION("""COMPUTED_VALUE"""),"-")</f>
        <v>-</v>
      </c>
      <c r="U5" s="14">
        <f ca="1">IFERROR(__xludf.DUMMYFUNCTION("""COMPUTED_VALUE"""),13)</f>
        <v>13</v>
      </c>
      <c r="V5" s="14" t="str">
        <f ca="1">IFERROR(__xludf.DUMMYFUNCTION("""COMPUTED_VALUE"""),"3490, 3000, 3480, 3050")</f>
        <v>3490, 3000, 3480, 3050</v>
      </c>
      <c r="W5" s="14">
        <f ca="1">IFERROR(__xludf.DUMMYFUNCTION("""COMPUTED_VALUE"""),22)</f>
        <v>22</v>
      </c>
      <c r="X5" s="14" t="str">
        <f ca="1">IFERROR(__xludf.DUMMYFUNCTION("""COMPUTED_VALUE"""),"3000, 3480, 3230, 3050")</f>
        <v>3000, 3480, 3230, 3050</v>
      </c>
      <c r="Y5" s="14" t="str">
        <f ca="1">IFERROR(__xludf.DUMMYFUNCTION("""COMPUTED_VALUE"""),"ja")</f>
        <v>ja</v>
      </c>
      <c r="Z5" s="14"/>
      <c r="AA5" s="16"/>
      <c r="AB5" s="14" t="str">
        <f ca="1">IFERROR(__xludf.DUMMYFUNCTION("""COMPUTED_VALUE"""),"x")</f>
        <v>x</v>
      </c>
      <c r="AC5" s="14" t="str">
        <f ca="1">IFERROR(__xludf.DUMMYFUNCTION("""COMPUTED_VALUE"""),"x")</f>
        <v>x</v>
      </c>
    </row>
    <row r="6" spans="1:30" ht="15.75" customHeight="1" x14ac:dyDescent="0.25">
      <c r="A6" s="14" t="str">
        <f ca="1">IFERROR(__xludf.DUMMYFUNCTION("""COMPUTED_VALUE"""),"Camilla")</f>
        <v>Camilla</v>
      </c>
      <c r="B6" s="14" t="str">
        <f ca="1">IFERROR(__xludf.DUMMYFUNCTION("""COMPUTED_VALUE"""),"EDC Huset Hadsten, Hadsten")</f>
        <v>EDC Huset Hadsten, Hadsten</v>
      </c>
      <c r="C6" s="14">
        <f ca="1">IFERROR(__xludf.DUMMYFUNCTION("""COMPUTED_VALUE"""),41887788)</f>
        <v>41887788</v>
      </c>
      <c r="D6" s="14" t="str">
        <f ca="1">IFERROR(__xludf.DUMMYFUNCTION("""COMPUTED_VALUE"""),"MG-JY: 2.499,-")</f>
        <v>MG-JY: 2.499,-</v>
      </c>
      <c r="E6" s="14">
        <f ca="1">IFERROR(__xludf.DUMMYFUNCTION("""COMPUTED_VALUE"""),1201)</f>
        <v>1201</v>
      </c>
      <c r="F6" s="14" t="str">
        <f ca="1">IFERROR(__xludf.DUMMYFUNCTION("""COMPUTED_VALUE"""),"Jens Christensen ")</f>
        <v xml:space="preserve">Jens Christensen </v>
      </c>
      <c r="G6" s="14" t="str">
        <f ca="1">IFERROR(__xludf.DUMMYFUNCTION("""COMPUTED_VALUE"""),"jc@edc.dk")</f>
        <v>jc@edc.dk</v>
      </c>
      <c r="H6" s="14" t="str">
        <f ca="1">IFERROR(__xludf.DUMMYFUNCTION("""COMPUTED_VALUE"""),"86 98 36 00")</f>
        <v>86 98 36 00</v>
      </c>
      <c r="I6" s="14" t="str">
        <f ca="1">IFERROR(__xludf.DUMMYFUNCTION("""COMPUTED_VALUE"""),"Søndergade 13")</f>
        <v>Søndergade 13</v>
      </c>
      <c r="J6" s="14">
        <f ca="1">IFERROR(__xludf.DUMMYFUNCTION("""COMPUTED_VALUE"""),8370)</f>
        <v>8370</v>
      </c>
      <c r="K6" s="14" t="str">
        <f ca="1">IFERROR(__xludf.DUMMYFUNCTION("""COMPUTED_VALUE"""),"Hadsten")</f>
        <v>Hadsten</v>
      </c>
      <c r="L6" s="14" t="str">
        <f ca="1">IFERROR(__xludf.DUMMYFUNCTION("""COMPUTED_VALUE"""),"Favrskov")</f>
        <v>Favrskov</v>
      </c>
      <c r="M6" s="14" t="str">
        <f ca="1">IFERROR(__xludf.DUMMYFUNCTION("""COMPUTED_VALUE"""),"Østjylland")</f>
        <v>Østjylland</v>
      </c>
      <c r="N6" s="14" t="str">
        <f ca="1">IFERROR(__xludf.DUMMYFUNCTION("""COMPUTED_VALUE"""),"Midtjylland")</f>
        <v>Midtjylland</v>
      </c>
      <c r="O6" s="14" t="str">
        <f ca="1">IFERROR(__xludf.DUMMYFUNCTION("""COMPUTED_VALUE"""),"86 98 36 00")</f>
        <v>86 98 36 00</v>
      </c>
      <c r="P6" s="14" t="str">
        <f ca="1">IFERROR(__xludf.DUMMYFUNCTION("""COMPUTED_VALUE"""),"837@edc.dk")</f>
        <v>837@edc.dk</v>
      </c>
      <c r="Q6" s="15" t="str">
        <f ca="1">IFERROR(__xludf.DUMMYFUNCTION("""COMPUTED_VALUE"""),"https://www.boliga.dk/maegler/916")</f>
        <v>https://www.boliga.dk/maegler/916</v>
      </c>
      <c r="R6" s="14" t="str">
        <f ca="1">IFERROR(__xludf.DUMMYFUNCTION("""COMPUTED_VALUE"""),"-")</f>
        <v>-</v>
      </c>
      <c r="S6" s="14" t="str">
        <f ca="1">IFERROR(__xludf.DUMMYFUNCTION("""COMPUTED_VALUE"""),"-")</f>
        <v>-</v>
      </c>
      <c r="T6" s="14" t="str">
        <f ca="1">IFERROR(__xludf.DUMMYFUNCTION("""COMPUTED_VALUE"""),"-")</f>
        <v>-</v>
      </c>
      <c r="U6" s="14">
        <f ca="1">IFERROR(__xludf.DUMMYFUNCTION("""COMPUTED_VALUE"""),12)</f>
        <v>12</v>
      </c>
      <c r="V6" s="14" t="str">
        <f ca="1">IFERROR(__xludf.DUMMYFUNCTION("""COMPUTED_VALUE"""),"8370, 8380, 8870, 8960")</f>
        <v>8370, 8380, 8870, 8960</v>
      </c>
      <c r="W6" s="14">
        <f ca="1">IFERROR(__xludf.DUMMYFUNCTION("""COMPUTED_VALUE"""),14)</f>
        <v>14</v>
      </c>
      <c r="X6" s="14" t="str">
        <f ca="1">IFERROR(__xludf.DUMMYFUNCTION("""COMPUTED_VALUE"""),"8370, 8380, 8870")</f>
        <v>8370, 8380, 8870</v>
      </c>
      <c r="Y6" s="14" t="str">
        <f ca="1">IFERROR(__xludf.DUMMYFUNCTION("""COMPUTED_VALUE"""),"ja")</f>
        <v>ja</v>
      </c>
      <c r="Z6" s="14"/>
      <c r="AA6" s="16"/>
      <c r="AB6" s="14" t="str">
        <f ca="1">IFERROR(__xludf.DUMMYFUNCTION("""COMPUTED_VALUE"""),"x")</f>
        <v>x</v>
      </c>
      <c r="AC6" s="14" t="str">
        <f ca="1">IFERROR(__xludf.DUMMYFUNCTION("""COMPUTED_VALUE"""),"x")</f>
        <v>x</v>
      </c>
    </row>
    <row r="7" spans="1:30" ht="15.75" customHeight="1" x14ac:dyDescent="0.25">
      <c r="A7" s="14" t="str">
        <f ca="1">IFERROR(__xludf.DUMMYFUNCTION("""COMPUTED_VALUE"""),"Camilla")</f>
        <v>Camilla</v>
      </c>
      <c r="B7" s="14" t="str">
        <f ca="1">IFERROR(__xludf.DUMMYFUNCTION("""COMPUTED_VALUE"""),"EDC Huset Hinnerup, Hinnerup")</f>
        <v>EDC Huset Hinnerup, Hinnerup</v>
      </c>
      <c r="C7" s="14">
        <f ca="1">IFERROR(__xludf.DUMMYFUNCTION("""COMPUTED_VALUE"""),41887788)</f>
        <v>41887788</v>
      </c>
      <c r="D7" s="14" t="str">
        <f ca="1">IFERROR(__xludf.DUMMYFUNCTION("""COMPUTED_VALUE"""),"MG-JY: 2.499,-")</f>
        <v>MG-JY: 2.499,-</v>
      </c>
      <c r="E7" s="14">
        <f ca="1">IFERROR(__xludf.DUMMYFUNCTION("""COMPUTED_VALUE"""),1201)</f>
        <v>1201</v>
      </c>
      <c r="F7" s="14" t="str">
        <f ca="1">IFERROR(__xludf.DUMMYFUNCTION("""COMPUTED_VALUE"""),"Jens Christensen ")</f>
        <v xml:space="preserve">Jens Christensen </v>
      </c>
      <c r="G7" s="14" t="str">
        <f ca="1">IFERROR(__xludf.DUMMYFUNCTION("""COMPUTED_VALUE"""),"jc@edc.dk")</f>
        <v>jc@edc.dk</v>
      </c>
      <c r="H7" s="14" t="str">
        <f ca="1">IFERROR(__xludf.DUMMYFUNCTION("""COMPUTED_VALUE"""),"86 98 36 00")</f>
        <v>86 98 36 00</v>
      </c>
      <c r="I7" s="14" t="str">
        <f ca="1">IFERROR(__xludf.DUMMYFUNCTION("""COMPUTED_VALUE"""),"Storegade 20 A")</f>
        <v>Storegade 20 A</v>
      </c>
      <c r="J7" s="14">
        <f ca="1">IFERROR(__xludf.DUMMYFUNCTION("""COMPUTED_VALUE"""),8382)</f>
        <v>8382</v>
      </c>
      <c r="K7" s="14" t="str">
        <f ca="1">IFERROR(__xludf.DUMMYFUNCTION("""COMPUTED_VALUE"""),"Hinnerup")</f>
        <v>Hinnerup</v>
      </c>
      <c r="L7" s="14" t="str">
        <f ca="1">IFERROR(__xludf.DUMMYFUNCTION("""COMPUTED_VALUE"""),"Favrskov")</f>
        <v>Favrskov</v>
      </c>
      <c r="M7" s="14" t="str">
        <f ca="1">IFERROR(__xludf.DUMMYFUNCTION("""COMPUTED_VALUE"""),"Østjylland")</f>
        <v>Østjylland</v>
      </c>
      <c r="N7" s="14" t="str">
        <f ca="1">IFERROR(__xludf.DUMMYFUNCTION("""COMPUTED_VALUE"""),"Midtjylland")</f>
        <v>Midtjylland</v>
      </c>
      <c r="O7" s="14" t="str">
        <f ca="1">IFERROR(__xludf.DUMMYFUNCTION("""COMPUTED_VALUE"""),"86 98 77 77")</f>
        <v>86 98 77 77</v>
      </c>
      <c r="P7" s="14" t="str">
        <f ca="1">IFERROR(__xludf.DUMMYFUNCTION("""COMPUTED_VALUE"""),"838@edc.dk")</f>
        <v>838@edc.dk</v>
      </c>
      <c r="Q7" s="15" t="str">
        <f ca="1">IFERROR(__xludf.DUMMYFUNCTION("""COMPUTED_VALUE"""),"https://www.boliga.dk/maegler/700")</f>
        <v>https://www.boliga.dk/maegler/700</v>
      </c>
      <c r="R7" s="14" t="str">
        <f ca="1">IFERROR(__xludf.DUMMYFUNCTION("""COMPUTED_VALUE"""),"-")</f>
        <v>-</v>
      </c>
      <c r="S7" s="14" t="str">
        <f ca="1">IFERROR(__xludf.DUMMYFUNCTION("""COMPUTED_VALUE"""),"-")</f>
        <v>-</v>
      </c>
      <c r="T7" s="14" t="str">
        <f ca="1">IFERROR(__xludf.DUMMYFUNCTION("""COMPUTED_VALUE"""),"-")</f>
        <v>-</v>
      </c>
      <c r="U7" s="14">
        <f ca="1">IFERROR(__xludf.DUMMYFUNCTION("""COMPUTED_VALUE"""),7)</f>
        <v>7</v>
      </c>
      <c r="V7" s="14">
        <f ca="1">IFERROR(__xludf.DUMMYFUNCTION("""COMPUTED_VALUE"""),8382)</f>
        <v>8382</v>
      </c>
      <c r="W7" s="14">
        <f ca="1">IFERROR(__xludf.DUMMYFUNCTION("""COMPUTED_VALUE"""),11)</f>
        <v>11</v>
      </c>
      <c r="X7" s="14" t="str">
        <f ca="1">IFERROR(__xludf.DUMMYFUNCTION("""COMPUTED_VALUE"""),"8382, 8380")</f>
        <v>8382, 8380</v>
      </c>
      <c r="Y7" s="14" t="str">
        <f ca="1">IFERROR(__xludf.DUMMYFUNCTION("""COMPUTED_VALUE"""),"ja")</f>
        <v>ja</v>
      </c>
      <c r="Z7" s="14"/>
      <c r="AA7" s="16"/>
      <c r="AB7" s="14" t="str">
        <f ca="1">IFERROR(__xludf.DUMMYFUNCTION("""COMPUTED_VALUE"""),"x")</f>
        <v>x</v>
      </c>
      <c r="AC7" s="14" t="str">
        <f ca="1">IFERROR(__xludf.DUMMYFUNCTION("""COMPUTED_VALUE"""),"x")</f>
        <v>x</v>
      </c>
    </row>
    <row r="8" spans="1:30" ht="15.75" customHeight="1" x14ac:dyDescent="0.25">
      <c r="A8" s="14" t="str">
        <f ca="1">IFERROR(__xludf.DUMMYFUNCTION("""COMPUTED_VALUE"""),"Camilla")</f>
        <v>Camilla</v>
      </c>
      <c r="B8" s="14" t="str">
        <f ca="1">IFERROR(__xludf.DUMMYFUNCTION("""COMPUTED_VALUE"""),"EDC Kjellerup, Kjellerup")</f>
        <v>EDC Kjellerup, Kjellerup</v>
      </c>
      <c r="C8" s="14">
        <f ca="1">IFERROR(__xludf.DUMMYFUNCTION("""COMPUTED_VALUE"""),40296395)</f>
        <v>40296395</v>
      </c>
      <c r="D8" s="14" t="str">
        <f ca="1">IFERROR(__xludf.DUMMYFUNCTION("""COMPUTED_VALUE"""),"MG-JY: 2.499,-")</f>
        <v>MG-JY: 2.499,-</v>
      </c>
      <c r="E8" s="14">
        <f ca="1">IFERROR(__xludf.DUMMYFUNCTION("""COMPUTED_VALUE"""),1201)</f>
        <v>1201</v>
      </c>
      <c r="F8" s="14" t="str">
        <f ca="1">IFERROR(__xludf.DUMMYFUNCTION("""COMPUTED_VALUE"""),"Nikolaj Jensen")</f>
        <v>Nikolaj Jensen</v>
      </c>
      <c r="G8" s="14" t="str">
        <f ca="1">IFERROR(__xludf.DUMMYFUNCTION("""COMPUTED_VALUE"""),"nije@edc.dk")</f>
        <v>nije@edc.dk</v>
      </c>
      <c r="H8" s="14" t="str">
        <f ca="1">IFERROR(__xludf.DUMMYFUNCTION("""COMPUTED_VALUE"""),"28 14 21 71")</f>
        <v>28 14 21 71</v>
      </c>
      <c r="I8" s="14" t="str">
        <f ca="1">IFERROR(__xludf.DUMMYFUNCTION("""COMPUTED_VALUE"""),"Torvet 1")</f>
        <v>Torvet 1</v>
      </c>
      <c r="J8" s="14">
        <f ca="1">IFERROR(__xludf.DUMMYFUNCTION("""COMPUTED_VALUE"""),8620)</f>
        <v>8620</v>
      </c>
      <c r="K8" s="14" t="str">
        <f ca="1">IFERROR(__xludf.DUMMYFUNCTION("""COMPUTED_VALUE"""),"Kjellerup")</f>
        <v>Kjellerup</v>
      </c>
      <c r="L8" s="14" t="str">
        <f ca="1">IFERROR(__xludf.DUMMYFUNCTION("""COMPUTED_VALUE"""),"Silkeborg")</f>
        <v>Silkeborg</v>
      </c>
      <c r="M8" s="14" t="str">
        <f ca="1">IFERROR(__xludf.DUMMYFUNCTION("""COMPUTED_VALUE"""),"Østjylland")</f>
        <v>Østjylland</v>
      </c>
      <c r="N8" s="14" t="str">
        <f ca="1">IFERROR(__xludf.DUMMYFUNCTION("""COMPUTED_VALUE"""),"Midtjylland")</f>
        <v>Midtjylland</v>
      </c>
      <c r="O8" s="14" t="str">
        <f ca="1">IFERROR(__xludf.DUMMYFUNCTION("""COMPUTED_VALUE"""),"86 88 28 22")</f>
        <v>86 88 28 22</v>
      </c>
      <c r="P8" s="14" t="str">
        <f ca="1">IFERROR(__xludf.DUMMYFUNCTION("""COMPUTED_VALUE"""),"861@edc.dk")</f>
        <v>861@edc.dk</v>
      </c>
      <c r="Q8" s="15" t="str">
        <f ca="1">IFERROR(__xludf.DUMMYFUNCTION("""COMPUTED_VALUE"""),"https://www.boliga.dk/maegler/1002")</f>
        <v>https://www.boliga.dk/maegler/1002</v>
      </c>
      <c r="R8" s="14" t="str">
        <f ca="1">IFERROR(__xludf.DUMMYFUNCTION("""COMPUTED_VALUE"""),"-")</f>
        <v>-</v>
      </c>
      <c r="S8" s="14" t="str">
        <f ca="1">IFERROR(__xludf.DUMMYFUNCTION("""COMPUTED_VALUE"""),"-")</f>
        <v>-</v>
      </c>
      <c r="T8" s="14" t="str">
        <f ca="1">IFERROR(__xludf.DUMMYFUNCTION("""COMPUTED_VALUE"""),"-")</f>
        <v>-</v>
      </c>
      <c r="U8" s="14">
        <f ca="1">IFERROR(__xludf.DUMMYFUNCTION("""COMPUTED_VALUE"""),57)</f>
        <v>57</v>
      </c>
      <c r="V8" s="14" t="str">
        <f ca="1">IFERROR(__xludf.DUMMYFUNCTION("""COMPUTED_VALUE"""),"7470, 7500, 8620, 7442, 8643, 8600")</f>
        <v>7470, 7500, 8620, 7442, 8643, 8600</v>
      </c>
      <c r="W8" s="14">
        <f ca="1">IFERROR(__xludf.DUMMYFUNCTION("""COMPUTED_VALUE"""),29)</f>
        <v>29</v>
      </c>
      <c r="X8" s="14" t="str">
        <f ca="1">IFERROR(__xludf.DUMMYFUNCTION("""COMPUTED_VALUE"""),"8620, 8643")</f>
        <v>8620, 8643</v>
      </c>
      <c r="Y8" s="14" t="str">
        <f ca="1">IFERROR(__xludf.DUMMYFUNCTION("""COMPUTED_VALUE"""),"ja")</f>
        <v>ja</v>
      </c>
      <c r="Z8" s="14"/>
      <c r="AA8" s="16"/>
      <c r="AB8" s="14" t="str">
        <f ca="1">IFERROR(__xludf.DUMMYFUNCTION("""COMPUTED_VALUE"""),"x")</f>
        <v>x</v>
      </c>
      <c r="AC8" s="14" t="str">
        <f ca="1">IFERROR(__xludf.DUMMYFUNCTION("""COMPUTED_VALUE"""),"x")</f>
        <v>x</v>
      </c>
    </row>
    <row r="9" spans="1:30" ht="15.75" customHeight="1" x14ac:dyDescent="0.25">
      <c r="A9" s="14" t="str">
        <f ca="1">IFERROR(__xludf.DUMMYFUNCTION("""COMPUTED_VALUE"""),"Camilla")</f>
        <v>Camilla</v>
      </c>
      <c r="B9" s="14" t="str">
        <f ca="1">IFERROR(__xludf.DUMMYFUNCTION("""COMPUTED_VALUE"""),"EDC Mæglergruppen, Randers SØ")</f>
        <v>EDC Mæglergruppen, Randers SØ</v>
      </c>
      <c r="C9" s="14">
        <f ca="1">IFERROR(__xludf.DUMMYFUNCTION("""COMPUTED_VALUE"""),28662629)</f>
        <v>28662629</v>
      </c>
      <c r="D9" s="14" t="str">
        <f ca="1">IFERROR(__xludf.DUMMYFUNCTION("""COMPUTED_VALUE"""),"MG-JY: 2.499,-")</f>
        <v>MG-JY: 2.499,-</v>
      </c>
      <c r="E9" s="14">
        <f ca="1">IFERROR(__xludf.DUMMYFUNCTION("""COMPUTED_VALUE"""),1201)</f>
        <v>1201</v>
      </c>
      <c r="F9" s="14" t="str">
        <f ca="1">IFERROR(__xludf.DUMMYFUNCTION("""COMPUTED_VALUE"""),"Jesper Hedegaard")</f>
        <v>Jesper Hedegaard</v>
      </c>
      <c r="G9" s="14" t="str">
        <f ca="1">IFERROR(__xludf.DUMMYFUNCTION("""COMPUTED_VALUE"""),"jh.891@edc.dk")</f>
        <v>jh.891@edc.dk</v>
      </c>
      <c r="H9" s="14" t="str">
        <f ca="1">IFERROR(__xludf.DUMMYFUNCTION("""COMPUTED_VALUE"""),"20 32 64 44")</f>
        <v>20 32 64 44</v>
      </c>
      <c r="I9" s="14" t="str">
        <f ca="1">IFERROR(__xludf.DUMMYFUNCTION("""COMPUTED_VALUE"""),"Ebeltoftvej 3A")</f>
        <v>Ebeltoftvej 3A</v>
      </c>
      <c r="J9" s="14">
        <f ca="1">IFERROR(__xludf.DUMMYFUNCTION("""COMPUTED_VALUE"""),8960)</f>
        <v>8960</v>
      </c>
      <c r="K9" s="14" t="str">
        <f ca="1">IFERROR(__xludf.DUMMYFUNCTION("""COMPUTED_VALUE"""),"Randers SØ")</f>
        <v>Randers SØ</v>
      </c>
      <c r="L9" s="14" t="str">
        <f ca="1">IFERROR(__xludf.DUMMYFUNCTION("""COMPUTED_VALUE"""),"Randers")</f>
        <v>Randers</v>
      </c>
      <c r="M9" s="14" t="str">
        <f ca="1">IFERROR(__xludf.DUMMYFUNCTION("""COMPUTED_VALUE"""),"Østjylland")</f>
        <v>Østjylland</v>
      </c>
      <c r="N9" s="14" t="str">
        <f ca="1">IFERROR(__xludf.DUMMYFUNCTION("""COMPUTED_VALUE"""),"Midtjylland")</f>
        <v>Midtjylland</v>
      </c>
      <c r="O9" s="14" t="str">
        <f ca="1">IFERROR(__xludf.DUMMYFUNCTION("""COMPUTED_VALUE"""),"86 49 44 44")</f>
        <v>86 49 44 44</v>
      </c>
      <c r="P9" s="14" t="str">
        <f ca="1">IFERROR(__xludf.DUMMYFUNCTION("""COMPUTED_VALUE"""),"890@edc.dk")</f>
        <v>890@edc.dk</v>
      </c>
      <c r="Q9" s="15" t="str">
        <f ca="1">IFERROR(__xludf.DUMMYFUNCTION("""COMPUTED_VALUE"""),"https://www.boliga.dk/maegler/77")</f>
        <v>https://www.boliga.dk/maegler/77</v>
      </c>
      <c r="R9" s="14" t="str">
        <f ca="1">IFERROR(__xludf.DUMMYFUNCTION("""COMPUTED_VALUE"""),"-")</f>
        <v>-</v>
      </c>
      <c r="S9" s="14" t="str">
        <f ca="1">IFERROR(__xludf.DUMMYFUNCTION("""COMPUTED_VALUE"""),"-")</f>
        <v>-</v>
      </c>
      <c r="T9" s="14" t="str">
        <f ca="1">IFERROR(__xludf.DUMMYFUNCTION("""COMPUTED_VALUE"""),"-")</f>
        <v>-</v>
      </c>
      <c r="U9" s="14">
        <f ca="1">IFERROR(__xludf.DUMMYFUNCTION("""COMPUTED_VALUE"""),46)</f>
        <v>46</v>
      </c>
      <c r="V9" s="14" t="str">
        <f ca="1">IFERROR(__xludf.DUMMYFUNCTION("""COMPUTED_VALUE"""),"8990, 8950, 8550, 8940, 8870, 8961, 8920, 8960, 8963, 9370")</f>
        <v>8990, 8950, 8550, 8940, 8870, 8961, 8920, 8960, 8963, 9370</v>
      </c>
      <c r="W9" s="14">
        <f ca="1">IFERROR(__xludf.DUMMYFUNCTION("""COMPUTED_VALUE"""),20)</f>
        <v>20</v>
      </c>
      <c r="X9" s="14" t="str">
        <f ca="1">IFERROR(__xludf.DUMMYFUNCTION("""COMPUTED_VALUE"""),"8961, 8950, 8930, 8960, 8920, 8963, 8990")</f>
        <v>8961, 8950, 8930, 8960, 8920, 8963, 8990</v>
      </c>
      <c r="Y9" s="14" t="str">
        <f ca="1">IFERROR(__xludf.DUMMYFUNCTION("""COMPUTED_VALUE"""),"ja")</f>
        <v>ja</v>
      </c>
      <c r="Z9" s="14"/>
      <c r="AA9" s="16"/>
      <c r="AB9" s="14" t="str">
        <f ca="1">IFERROR(__xludf.DUMMYFUNCTION("""COMPUTED_VALUE"""),"x")</f>
        <v>x</v>
      </c>
      <c r="AC9" s="14" t="str">
        <f ca="1">IFERROR(__xludf.DUMMYFUNCTION("""COMPUTED_VALUE"""),"x")</f>
        <v>x</v>
      </c>
    </row>
    <row r="10" spans="1:30" ht="15.75" customHeight="1" x14ac:dyDescent="0.25">
      <c r="A10" s="14" t="str">
        <f ca="1">IFERROR(__xludf.DUMMYFUNCTION("""COMPUTED_VALUE"""),"Camilla")</f>
        <v>Camilla</v>
      </c>
      <c r="B10" s="14" t="str">
        <f ca="1">IFERROR(__xludf.DUMMYFUNCTION("""COMPUTED_VALUE"""),"EDC Brande, Brande")</f>
        <v>EDC Brande, Brande</v>
      </c>
      <c r="C10" s="14">
        <f ca="1">IFERROR(__xludf.DUMMYFUNCTION("""COMPUTED_VALUE"""),26100895)</f>
        <v>26100895</v>
      </c>
      <c r="D10" s="14" t="str">
        <f ca="1">IFERROR(__xludf.DUMMYFUNCTION("""COMPUTED_VALUE"""),"MG-JY: 2.499,-")</f>
        <v>MG-JY: 2.499,-</v>
      </c>
      <c r="E10" s="14">
        <f ca="1">IFERROR(__xludf.DUMMYFUNCTION("""COMPUTED_VALUE"""),1201)</f>
        <v>1201</v>
      </c>
      <c r="F10" s="14" t="str">
        <f ca="1">IFERROR(__xludf.DUMMYFUNCTION("""COMPUTED_VALUE"""),"Nicolai Møller")</f>
        <v>Nicolai Møller</v>
      </c>
      <c r="G10" s="14" t="str">
        <f ca="1">IFERROR(__xludf.DUMMYFUNCTION("""COMPUTED_VALUE"""),"nmo@edc.dk")</f>
        <v>nmo@edc.dk</v>
      </c>
      <c r="H10" s="14" t="str">
        <f ca="1">IFERROR(__xludf.DUMMYFUNCTION("""COMPUTED_VALUE"""),"25 13 94 44")</f>
        <v>25 13 94 44</v>
      </c>
      <c r="I10" s="14" t="str">
        <f ca="1">IFERROR(__xludf.DUMMYFUNCTION("""COMPUTED_VALUE"""),"Jernbanegade 5")</f>
        <v>Jernbanegade 5</v>
      </c>
      <c r="J10" s="14">
        <f ca="1">IFERROR(__xludf.DUMMYFUNCTION("""COMPUTED_VALUE"""),7330)</f>
        <v>7330</v>
      </c>
      <c r="K10" s="14" t="str">
        <f ca="1">IFERROR(__xludf.DUMMYFUNCTION("""COMPUTED_VALUE"""),"Brande")</f>
        <v>Brande</v>
      </c>
      <c r="L10" s="14" t="str">
        <f ca="1">IFERROR(__xludf.DUMMYFUNCTION("""COMPUTED_VALUE"""),"Ikast-Brande")</f>
        <v>Ikast-Brande</v>
      </c>
      <c r="M10" s="14" t="str">
        <f ca="1">IFERROR(__xludf.DUMMYFUNCTION("""COMPUTED_VALUE"""),"Vestjylland")</f>
        <v>Vestjylland</v>
      </c>
      <c r="N10" s="14" t="str">
        <f ca="1">IFERROR(__xludf.DUMMYFUNCTION("""COMPUTED_VALUE"""),"Midtjylland")</f>
        <v>Midtjylland</v>
      </c>
      <c r="O10" s="14" t="str">
        <f ca="1">IFERROR(__xludf.DUMMYFUNCTION("""COMPUTED_VALUE"""),"97 18 00 88")</f>
        <v>97 18 00 88</v>
      </c>
      <c r="P10" s="14" t="str">
        <f ca="1">IFERROR(__xludf.DUMMYFUNCTION("""COMPUTED_VALUE"""),"733@edc.dk")</f>
        <v>733@edc.dk</v>
      </c>
      <c r="Q10" s="15" t="str">
        <f ca="1">IFERROR(__xludf.DUMMYFUNCTION("""COMPUTED_VALUE"""),"https://www.boliga.dk/maegler/827")</f>
        <v>https://www.boliga.dk/maegler/827</v>
      </c>
      <c r="R10" s="14" t="str">
        <f ca="1">IFERROR(__xludf.DUMMYFUNCTION("""COMPUTED_VALUE"""),"-")</f>
        <v>-</v>
      </c>
      <c r="S10" s="14" t="str">
        <f ca="1">IFERROR(__xludf.DUMMYFUNCTION("""COMPUTED_VALUE"""),"-")</f>
        <v>-</v>
      </c>
      <c r="T10" s="14" t="str">
        <f ca="1">IFERROR(__xludf.DUMMYFUNCTION("""COMPUTED_VALUE"""),"-")</f>
        <v>-</v>
      </c>
      <c r="U10" s="14">
        <f ca="1">IFERROR(__xludf.DUMMYFUNCTION("""COMPUTED_VALUE"""),6)</f>
        <v>6</v>
      </c>
      <c r="V10" s="14">
        <f ca="1">IFERROR(__xludf.DUMMYFUNCTION("""COMPUTED_VALUE"""),7330)</f>
        <v>7330</v>
      </c>
      <c r="W10" s="14">
        <f ca="1">IFERROR(__xludf.DUMMYFUNCTION("""COMPUTED_VALUE"""),3)</f>
        <v>3</v>
      </c>
      <c r="X10" s="14" t="str">
        <f ca="1">IFERROR(__xludf.DUMMYFUNCTION("""COMPUTED_VALUE"""),"7330, 7361")</f>
        <v>7330, 7361</v>
      </c>
      <c r="Y10" s="14" t="str">
        <f ca="1">IFERROR(__xludf.DUMMYFUNCTION("""COMPUTED_VALUE"""),"ja")</f>
        <v>ja</v>
      </c>
      <c r="Z10" s="14" t="str">
        <f ca="1">IFERROR(__xludf.DUMMYFUNCTION("""COMPUTED_VALUE"""),"CK har skriftlig bek")</f>
        <v>CK har skriftlig bek</v>
      </c>
      <c r="AA10" s="14"/>
      <c r="AB10" s="14" t="str">
        <f ca="1">IFERROR(__xludf.DUMMYFUNCTION("""COMPUTED_VALUE"""),"x")</f>
        <v>x</v>
      </c>
      <c r="AC10" s="14" t="str">
        <f ca="1">IFERROR(__xludf.DUMMYFUNCTION("""COMPUTED_VALUE"""),"x")</f>
        <v>x</v>
      </c>
    </row>
    <row r="11" spans="1:30" ht="15.75" customHeight="1" x14ac:dyDescent="0.25">
      <c r="A11" s="14" t="str">
        <f ca="1">IFERROR(__xludf.DUMMYFUNCTION("""COMPUTED_VALUE"""),"Camilla")</f>
        <v>Camilla</v>
      </c>
      <c r="B11" s="14" t="str">
        <f ca="1">IFERROR(__xludf.DUMMYFUNCTION("""COMPUTED_VALUE"""),"EDC Ringkøbing")</f>
        <v>EDC Ringkøbing</v>
      </c>
      <c r="C11" s="14">
        <f ca="1">IFERROR(__xludf.DUMMYFUNCTION("""COMPUTED_VALUE"""),30150856)</f>
        <v>30150856</v>
      </c>
      <c r="D11" s="14" t="str">
        <f ca="1">IFERROR(__xludf.DUMMYFUNCTION("""COMPUTED_VALUE"""),"MG-JY: 2.499,-")</f>
        <v>MG-JY: 2.499,-</v>
      </c>
      <c r="E11" s="14">
        <f ca="1">IFERROR(__xludf.DUMMYFUNCTION("""COMPUTED_VALUE"""),1201)</f>
        <v>1201</v>
      </c>
      <c r="F11" s="14" t="str">
        <f ca="1">IFERROR(__xludf.DUMMYFUNCTION("""COMPUTED_VALUE"""),"Mikkel Møller")</f>
        <v>Mikkel Møller</v>
      </c>
      <c r="G11" s="14" t="str">
        <f ca="1">IFERROR(__xludf.DUMMYFUNCTION("""COMPUTED_VALUE"""),"mm@edc.dk")</f>
        <v>mm@edc.dk</v>
      </c>
      <c r="H11" s="14">
        <f ca="1">IFERROR(__xludf.DUMMYFUNCTION("""COMPUTED_VALUE"""),23456638)</f>
        <v>23456638</v>
      </c>
      <c r="I11" s="14" t="str">
        <f ca="1">IFERROR(__xludf.DUMMYFUNCTION("""COMPUTED_VALUE"""),"Torvegade 8")</f>
        <v>Torvegade 8</v>
      </c>
      <c r="J11" s="14">
        <f ca="1">IFERROR(__xludf.DUMMYFUNCTION("""COMPUTED_VALUE"""),6950)</f>
        <v>6950</v>
      </c>
      <c r="K11" s="14" t="str">
        <f ca="1">IFERROR(__xludf.DUMMYFUNCTION("""COMPUTED_VALUE"""),"Ringkøbing")</f>
        <v>Ringkøbing</v>
      </c>
      <c r="L11" s="14" t="str">
        <f ca="1">IFERROR(__xludf.DUMMYFUNCTION("""COMPUTED_VALUE"""),"Ringkøbing-Skjern")</f>
        <v>Ringkøbing-Skjern</v>
      </c>
      <c r="M11" s="14" t="str">
        <f ca="1">IFERROR(__xludf.DUMMYFUNCTION("""COMPUTED_VALUE"""),"Vestjylland")</f>
        <v>Vestjylland</v>
      </c>
      <c r="N11" s="14" t="str">
        <f ca="1">IFERROR(__xludf.DUMMYFUNCTION("""COMPUTED_VALUE"""),"Midtjylland")</f>
        <v>Midtjylland</v>
      </c>
      <c r="O11" s="14" t="str">
        <f ca="1">IFERROR(__xludf.DUMMYFUNCTION("""COMPUTED_VALUE"""),"97 32 16 22")</f>
        <v>97 32 16 22</v>
      </c>
      <c r="P11" s="14" t="str">
        <f ca="1">IFERROR(__xludf.DUMMYFUNCTION("""COMPUTED_VALUE"""),"695@edc.dk")</f>
        <v>695@edc.dk</v>
      </c>
      <c r="Q11" s="15" t="str">
        <f ca="1">IFERROR(__xludf.DUMMYFUNCTION("""COMPUTED_VALUE"""),"https://www.boliga.dk/maegler/845")</f>
        <v>https://www.boliga.dk/maegler/845</v>
      </c>
      <c r="R11" s="14" t="str">
        <f ca="1">IFERROR(__xludf.DUMMYFUNCTION("""COMPUTED_VALUE"""),"-")</f>
        <v>-</v>
      </c>
      <c r="S11" s="14" t="str">
        <f ca="1">IFERROR(__xludf.DUMMYFUNCTION("""COMPUTED_VALUE"""),"-")</f>
        <v>-</v>
      </c>
      <c r="T11" s="14" t="str">
        <f ca="1">IFERROR(__xludf.DUMMYFUNCTION("""COMPUTED_VALUE"""),"-")</f>
        <v>-</v>
      </c>
      <c r="U11" s="14">
        <f ca="1">IFERROR(__xludf.DUMMYFUNCTION("""COMPUTED_VALUE"""),63)</f>
        <v>63</v>
      </c>
      <c r="V11" s="14" t="str">
        <f ca="1">IFERROR(__xludf.DUMMYFUNCTION("""COMPUTED_VALUE"""),"6900, 6950, 6971, 6940, 6990, 6980")</f>
        <v>6900, 6950, 6971, 6940, 6990, 6980</v>
      </c>
      <c r="W11" s="14">
        <f ca="1">IFERROR(__xludf.DUMMYFUNCTION("""COMPUTED_VALUE"""),20)</f>
        <v>20</v>
      </c>
      <c r="X11" s="14" t="str">
        <f ca="1">IFERROR(__xludf.DUMMYFUNCTION("""COMPUTED_VALUE"""),"6971, 6950, 6960, 6980")</f>
        <v>6971, 6950, 6960, 6980</v>
      </c>
      <c r="Y11" s="14" t="str">
        <f ca="1">IFERROR(__xludf.DUMMYFUNCTION("""COMPUTED_VALUE"""),"ja")</f>
        <v>ja</v>
      </c>
      <c r="Z11" s="14"/>
      <c r="AA11" s="16"/>
      <c r="AB11" s="14" t="str">
        <f ca="1">IFERROR(__xludf.DUMMYFUNCTION("""COMPUTED_VALUE"""),"x")</f>
        <v>x</v>
      </c>
      <c r="AC11" s="14" t="str">
        <f ca="1">IFERROR(__xludf.DUMMYFUNCTION("""COMPUTED_VALUE"""),"x")</f>
        <v>x</v>
      </c>
    </row>
    <row r="12" spans="1:30" ht="15.75" customHeight="1" x14ac:dyDescent="0.25">
      <c r="A12" s="14" t="str">
        <f ca="1">IFERROR(__xludf.DUMMYFUNCTION("""COMPUTED_VALUE"""),"Camilla")</f>
        <v>Camilla</v>
      </c>
      <c r="B12" s="14" t="str">
        <f ca="1">IFERROR(__xludf.DUMMYFUNCTION("""COMPUTED_VALUE"""),"EDC Skive")</f>
        <v>EDC Skive</v>
      </c>
      <c r="C12" s="14">
        <f ca="1">IFERROR(__xludf.DUMMYFUNCTION("""COMPUTED_VALUE"""),25781112)</f>
        <v>25781112</v>
      </c>
      <c r="D12" s="14" t="str">
        <f ca="1">IFERROR(__xludf.DUMMYFUNCTION("""COMPUTED_VALUE"""),"MG-JY: 2.499,-")</f>
        <v>MG-JY: 2.499,-</v>
      </c>
      <c r="E12" s="14">
        <f ca="1">IFERROR(__xludf.DUMMYFUNCTION("""COMPUTED_VALUE"""),1201)</f>
        <v>1201</v>
      </c>
      <c r="F12" s="14" t="str">
        <f ca="1">IFERROR(__xludf.DUMMYFUNCTION("""COMPUTED_VALUE"""),"Asbjørn Nielsen")</f>
        <v>Asbjørn Nielsen</v>
      </c>
      <c r="G12" s="14" t="str">
        <f ca="1">IFERROR(__xludf.DUMMYFUNCTION("""COMPUTED_VALUE"""),"amn@edc.dk")</f>
        <v>amn@edc.dk</v>
      </c>
      <c r="H12" s="14" t="str">
        <f ca="1">IFERROR(__xludf.DUMMYFUNCTION("""COMPUTED_VALUE"""),"61 61 56 04")</f>
        <v>61 61 56 04</v>
      </c>
      <c r="I12" s="14" t="str">
        <f ca="1">IFERROR(__xludf.DUMMYFUNCTION("""COMPUTED_VALUE"""),"Nørregade 32 G")</f>
        <v>Nørregade 32 G</v>
      </c>
      <c r="J12" s="14">
        <f ca="1">IFERROR(__xludf.DUMMYFUNCTION("""COMPUTED_VALUE"""),7800)</f>
        <v>7800</v>
      </c>
      <c r="K12" s="14" t="str">
        <f ca="1">IFERROR(__xludf.DUMMYFUNCTION("""COMPUTED_VALUE"""),"Skive")</f>
        <v>Skive</v>
      </c>
      <c r="L12" s="14" t="str">
        <f ca="1">IFERROR(__xludf.DUMMYFUNCTION("""COMPUTED_VALUE"""),"Skive")</f>
        <v>Skive</v>
      </c>
      <c r="M12" s="14" t="str">
        <f ca="1">IFERROR(__xludf.DUMMYFUNCTION("""COMPUTED_VALUE"""),"Vestjylland")</f>
        <v>Vestjylland</v>
      </c>
      <c r="N12" s="14" t="str">
        <f ca="1">IFERROR(__xludf.DUMMYFUNCTION("""COMPUTED_VALUE"""),"Midtjylland")</f>
        <v>Midtjylland</v>
      </c>
      <c r="O12" s="14" t="str">
        <f ca="1">IFERROR(__xludf.DUMMYFUNCTION("""COMPUTED_VALUE"""),"97 52 29 00")</f>
        <v>97 52 29 00</v>
      </c>
      <c r="P12" s="14" t="str">
        <f ca="1">IFERROR(__xludf.DUMMYFUNCTION("""COMPUTED_VALUE"""),"715@edc.dk")</f>
        <v>715@edc.dk</v>
      </c>
      <c r="Q12" s="15" t="str">
        <f ca="1">IFERROR(__xludf.DUMMYFUNCTION("""COMPUTED_VALUE"""),"https://www.boliga.dk/maegler/37")</f>
        <v>https://www.boliga.dk/maegler/37</v>
      </c>
      <c r="R12" s="14" t="str">
        <f ca="1">IFERROR(__xludf.DUMMYFUNCTION("""COMPUTED_VALUE"""),"-")</f>
        <v>-</v>
      </c>
      <c r="S12" s="14" t="str">
        <f ca="1">IFERROR(__xludf.DUMMYFUNCTION("""COMPUTED_VALUE"""),"-")</f>
        <v>-</v>
      </c>
      <c r="T12" s="14" t="str">
        <f ca="1">IFERROR(__xludf.DUMMYFUNCTION("""COMPUTED_VALUE"""),"-")</f>
        <v>-</v>
      </c>
      <c r="U12" s="14">
        <f ca="1">IFERROR(__xludf.DUMMYFUNCTION("""COMPUTED_VALUE"""),68)</f>
        <v>68</v>
      </c>
      <c r="V12" s="14" t="str">
        <f ca="1">IFERROR(__xludf.DUMMYFUNCTION("""COMPUTED_VALUE"""),"7870, 7860, 7840, 7800, 7884")</f>
        <v>7870, 7860, 7840, 7800, 7884</v>
      </c>
      <c r="W12" s="14">
        <f ca="1">IFERROR(__xludf.DUMMYFUNCTION("""COMPUTED_VALUE"""),38)</f>
        <v>38</v>
      </c>
      <c r="X12" s="14" t="str">
        <f ca="1">IFERROR(__xludf.DUMMYFUNCTION("""COMPUTED_VALUE"""),"7870, 7800, 7840, 7860, 7884, 7850")</f>
        <v>7870, 7800, 7840, 7860, 7884, 7850</v>
      </c>
      <c r="Y12" s="14" t="str">
        <f ca="1">IFERROR(__xludf.DUMMYFUNCTION("""COMPUTED_VALUE"""),"ja")</f>
        <v>ja</v>
      </c>
      <c r="Z12" s="14"/>
      <c r="AA12" s="16"/>
      <c r="AB12" s="14" t="str">
        <f ca="1">IFERROR(__xludf.DUMMYFUNCTION("""COMPUTED_VALUE"""),"x")</f>
        <v>x</v>
      </c>
      <c r="AC12" s="14" t="str">
        <f ca="1">IFERROR(__xludf.DUMMYFUNCTION("""COMPUTED_VALUE"""),"x")</f>
        <v>x</v>
      </c>
    </row>
    <row r="13" spans="1:30" ht="15.75" customHeight="1" x14ac:dyDescent="0.25">
      <c r="A13" s="14" t="str">
        <f ca="1">IFERROR(__xludf.DUMMYFUNCTION("""COMPUTED_VALUE"""),"Camilla")</f>
        <v>Camilla</v>
      </c>
      <c r="B13" s="14" t="str">
        <f ca="1">IFERROR(__xludf.DUMMYFUNCTION("""COMPUTED_VALUE"""),"EDC Danebo, City, Aalborg")</f>
        <v>EDC Danebo, City, Aalborg</v>
      </c>
      <c r="C13" s="14">
        <f ca="1">IFERROR(__xludf.DUMMYFUNCTION("""COMPUTED_VALUE"""),28129440)</f>
        <v>28129440</v>
      </c>
      <c r="D13" s="14" t="str">
        <f ca="1">IFERROR(__xludf.DUMMYFUNCTION("""COMPUTED_VALUE"""),"MG-JY: 2.499,-")</f>
        <v>MG-JY: 2.499,-</v>
      </c>
      <c r="E13" s="14">
        <f ca="1">IFERROR(__xludf.DUMMYFUNCTION("""COMPUTED_VALUE"""),1201)</f>
        <v>1201</v>
      </c>
      <c r="F13" s="14" t="str">
        <f ca="1">IFERROR(__xludf.DUMMYFUNCTION("""COMPUTED_VALUE"""),"Lars Kjærgaard")</f>
        <v>Lars Kjærgaard</v>
      </c>
      <c r="G13" s="14" t="str">
        <f ca="1">IFERROR(__xludf.DUMMYFUNCTION("""COMPUTED_VALUE"""),"ldk@edc.dk")</f>
        <v>ldk@edc.dk</v>
      </c>
      <c r="H13" s="14" t="str">
        <f ca="1">IFERROR(__xludf.DUMMYFUNCTION("""COMPUTED_VALUE"""),"40 36 43 07")</f>
        <v>40 36 43 07</v>
      </c>
      <c r="I13" s="14" t="str">
        <f ca="1">IFERROR(__xludf.DUMMYFUNCTION("""COMPUTED_VALUE"""),"Vesterbro 49")</f>
        <v>Vesterbro 49</v>
      </c>
      <c r="J13" s="14">
        <f ca="1">IFERROR(__xludf.DUMMYFUNCTION("""COMPUTED_VALUE"""),9000)</f>
        <v>9000</v>
      </c>
      <c r="K13" s="14" t="str">
        <f ca="1">IFERROR(__xludf.DUMMYFUNCTION("""COMPUTED_VALUE"""),"Aalborg")</f>
        <v>Aalborg</v>
      </c>
      <c r="L13" s="14" t="str">
        <f ca="1">IFERROR(__xludf.DUMMYFUNCTION("""COMPUTED_VALUE"""),"Aalborg")</f>
        <v>Aalborg</v>
      </c>
      <c r="M13" s="14" t="str">
        <f ca="1">IFERROR(__xludf.DUMMYFUNCTION("""COMPUTED_VALUE"""),"Nordjylland")</f>
        <v>Nordjylland</v>
      </c>
      <c r="N13" s="14" t="str">
        <f ca="1">IFERROR(__xludf.DUMMYFUNCTION("""COMPUTED_VALUE"""),"Nordjylland")</f>
        <v>Nordjylland</v>
      </c>
      <c r="O13" s="14" t="str">
        <f ca="1">IFERROR(__xludf.DUMMYFUNCTION("""COMPUTED_VALUE"""),"96 31 50 00")</f>
        <v>96 31 50 00</v>
      </c>
      <c r="P13" s="14" t="str">
        <f ca="1">IFERROR(__xludf.DUMMYFUNCTION("""COMPUTED_VALUE"""),"915@edc.dk")</f>
        <v>915@edc.dk</v>
      </c>
      <c r="Q13" s="15" t="str">
        <f ca="1">IFERROR(__xludf.DUMMYFUNCTION("""COMPUTED_VALUE"""),"https://www.boliga.dk/maegler/1032")</f>
        <v>https://www.boliga.dk/maegler/1032</v>
      </c>
      <c r="R13" s="14" t="str">
        <f ca="1">IFERROR(__xludf.DUMMYFUNCTION("""COMPUTED_VALUE"""),"-")</f>
        <v>-</v>
      </c>
      <c r="S13" s="14" t="str">
        <f ca="1">IFERROR(__xludf.DUMMYFUNCTION("""COMPUTED_VALUE"""),"-")</f>
        <v>-</v>
      </c>
      <c r="T13" s="14" t="str">
        <f ca="1">IFERROR(__xludf.DUMMYFUNCTION("""COMPUTED_VALUE"""),"-")</f>
        <v>-</v>
      </c>
      <c r="U13" s="14">
        <f ca="1">IFERROR(__xludf.DUMMYFUNCTION("""COMPUTED_VALUE"""),34)</f>
        <v>34</v>
      </c>
      <c r="V13" s="14" t="str">
        <f ca="1">IFERROR(__xludf.DUMMYFUNCTION("""COMPUTED_VALUE"""),"9270, 9000, 9520, 9200, 9400, 9293")</f>
        <v>9270, 9000, 9520, 9200, 9400, 9293</v>
      </c>
      <c r="W13" s="14">
        <f ca="1">IFERROR(__xludf.DUMMYFUNCTION("""COMPUTED_VALUE"""),15)</f>
        <v>15</v>
      </c>
      <c r="X13" s="14" t="str">
        <f ca="1">IFERROR(__xludf.DUMMYFUNCTION("""COMPUTED_VALUE"""),"9520, 9000, 9200, 9400")</f>
        <v>9520, 9000, 9200, 9400</v>
      </c>
      <c r="Y13" s="14" t="str">
        <f ca="1">IFERROR(__xludf.DUMMYFUNCTION("""COMPUTED_VALUE"""),"ja")</f>
        <v>ja</v>
      </c>
      <c r="Z13" s="14"/>
      <c r="AA13" s="14"/>
      <c r="AB13" s="14" t="str">
        <f ca="1">IFERROR(__xludf.DUMMYFUNCTION("""COMPUTED_VALUE"""),"x")</f>
        <v>x</v>
      </c>
      <c r="AC13" s="14" t="str">
        <f ca="1">IFERROR(__xludf.DUMMYFUNCTION("""COMPUTED_VALUE"""),"x")</f>
        <v>x</v>
      </c>
    </row>
    <row r="14" spans="1:30" ht="15.75" customHeight="1" x14ac:dyDescent="0.25">
      <c r="A14" s="14" t="str">
        <f ca="1">IFERROR(__xludf.DUMMYFUNCTION("""COMPUTED_VALUE"""),"Camilla")</f>
        <v>Camilla</v>
      </c>
      <c r="B14" s="14" t="str">
        <f ca="1">IFERROR(__xludf.DUMMYFUNCTION("""COMPUTED_VALUE"""),"EDC Danebo, Aalborg")</f>
        <v>EDC Danebo, Aalborg</v>
      </c>
      <c r="C14" s="14">
        <f ca="1">IFERROR(__xludf.DUMMYFUNCTION("""COMPUTED_VALUE"""),28129440)</f>
        <v>28129440</v>
      </c>
      <c r="D14" s="14" t="str">
        <f ca="1">IFERROR(__xludf.DUMMYFUNCTION("""COMPUTED_VALUE"""),"MG-JY: 2.499,-")</f>
        <v>MG-JY: 2.499,-</v>
      </c>
      <c r="E14" s="14">
        <f ca="1">IFERROR(__xludf.DUMMYFUNCTION("""COMPUTED_VALUE"""),1201)</f>
        <v>1201</v>
      </c>
      <c r="F14" s="14" t="str">
        <f ca="1">IFERROR(__xludf.DUMMYFUNCTION("""COMPUTED_VALUE"""),"Lars Kjærgaard")</f>
        <v>Lars Kjærgaard</v>
      </c>
      <c r="G14" s="14" t="str">
        <f ca="1">IFERROR(__xludf.DUMMYFUNCTION("""COMPUTED_VALUE"""),"ldk@edc.dk")</f>
        <v>ldk@edc.dk</v>
      </c>
      <c r="H14" s="14" t="str">
        <f ca="1">IFERROR(__xludf.DUMMYFUNCTION("""COMPUTED_VALUE"""),"40 36 43 07")</f>
        <v>40 36 43 07</v>
      </c>
      <c r="I14" s="14" t="str">
        <f ca="1">IFERROR(__xludf.DUMMYFUNCTION("""COMPUTED_VALUE"""),"Nyhavnsgade 4A, st")</f>
        <v>Nyhavnsgade 4A, st</v>
      </c>
      <c r="J14" s="14">
        <f ca="1">IFERROR(__xludf.DUMMYFUNCTION("""COMPUTED_VALUE"""),9000)</f>
        <v>9000</v>
      </c>
      <c r="K14" s="14" t="str">
        <f ca="1">IFERROR(__xludf.DUMMYFUNCTION("""COMPUTED_VALUE"""),"Aalborg")</f>
        <v>Aalborg</v>
      </c>
      <c r="L14" s="14" t="str">
        <f ca="1">IFERROR(__xludf.DUMMYFUNCTION("""COMPUTED_VALUE"""),"Aalborg")</f>
        <v>Aalborg</v>
      </c>
      <c r="M14" s="14" t="str">
        <f ca="1">IFERROR(__xludf.DUMMYFUNCTION("""COMPUTED_VALUE"""),"Nordjylland")</f>
        <v>Nordjylland</v>
      </c>
      <c r="N14" s="14" t="str">
        <f ca="1">IFERROR(__xludf.DUMMYFUNCTION("""COMPUTED_VALUE"""),"Nordjylland")</f>
        <v>Nordjylland</v>
      </c>
      <c r="O14" s="14" t="str">
        <f ca="1">IFERROR(__xludf.DUMMYFUNCTION("""COMPUTED_VALUE"""),"98 16 17 00")</f>
        <v>98 16 17 00</v>
      </c>
      <c r="P14" s="14" t="str">
        <f ca="1">IFERROR(__xludf.DUMMYFUNCTION("""COMPUTED_VALUE"""),"910@edc.dk")</f>
        <v>910@edc.dk</v>
      </c>
      <c r="Q14" s="15" t="str">
        <f ca="1">IFERROR(__xludf.DUMMYFUNCTION("""COMPUTED_VALUE"""),"https://www.boliga.dk/maegler/990")</f>
        <v>https://www.boliga.dk/maegler/990</v>
      </c>
      <c r="R14" s="14" t="str">
        <f ca="1">IFERROR(__xludf.DUMMYFUNCTION("""COMPUTED_VALUE"""),"-")</f>
        <v>-</v>
      </c>
      <c r="S14" s="14" t="str">
        <f ca="1">IFERROR(__xludf.DUMMYFUNCTION("""COMPUTED_VALUE"""),"-")</f>
        <v>-</v>
      </c>
      <c r="T14" s="14" t="str">
        <f ca="1">IFERROR(__xludf.DUMMYFUNCTION("""COMPUTED_VALUE"""),"-")</f>
        <v>-</v>
      </c>
      <c r="U14" s="14">
        <f ca="1">IFERROR(__xludf.DUMMYFUNCTION("""COMPUTED_VALUE"""),11)</f>
        <v>11</v>
      </c>
      <c r="V14" s="14" t="str">
        <f ca="1">IFERROR(__xludf.DUMMYFUNCTION("""COMPUTED_VALUE"""),"9200, 9400, 9000, 9210")</f>
        <v>9200, 9400, 9000, 9210</v>
      </c>
      <c r="W14" s="14">
        <f ca="1">IFERROR(__xludf.DUMMYFUNCTION("""COMPUTED_VALUE"""),31)</f>
        <v>31</v>
      </c>
      <c r="X14" s="14" t="str">
        <f ca="1">IFERROR(__xludf.DUMMYFUNCTION("""COMPUTED_VALUE"""),"9200, 9280, 9000, 9400, 9270")</f>
        <v>9200, 9280, 9000, 9400, 9270</v>
      </c>
      <c r="Y14" s="14" t="str">
        <f ca="1">IFERROR(__xludf.DUMMYFUNCTION("""COMPUTED_VALUE"""),"ja")</f>
        <v>ja</v>
      </c>
      <c r="Z14" s="14"/>
      <c r="AA14" s="14"/>
      <c r="AB14" s="14" t="str">
        <f ca="1">IFERROR(__xludf.DUMMYFUNCTION("""COMPUTED_VALUE"""),"x")</f>
        <v>x</v>
      </c>
      <c r="AC14" s="14" t="str">
        <f ca="1">IFERROR(__xludf.DUMMYFUNCTION("""COMPUTED_VALUE"""),"x")</f>
        <v>x</v>
      </c>
    </row>
    <row r="15" spans="1:30" ht="15.75" customHeight="1" x14ac:dyDescent="0.25">
      <c r="A15" s="14" t="str">
        <f ca="1">IFERROR(__xludf.DUMMYFUNCTION("""COMPUTED_VALUE"""),"Camilla")</f>
        <v>Camilla</v>
      </c>
      <c r="B15" s="14" t="str">
        <f ca="1">IFERROR(__xludf.DUMMYFUNCTION("""COMPUTED_VALUE"""),"EDC Hadsund")</f>
        <v>EDC Hadsund</v>
      </c>
      <c r="C15" s="14">
        <f ca="1">IFERROR(__xludf.DUMMYFUNCTION("""COMPUTED_VALUE"""),35666362)</f>
        <v>35666362</v>
      </c>
      <c r="D15" s="14" t="str">
        <f ca="1">IFERROR(__xludf.DUMMYFUNCTION("""COMPUTED_VALUE"""),"MG-JY: 2.499,-")</f>
        <v>MG-JY: 2.499,-</v>
      </c>
      <c r="E15" s="14">
        <f ca="1">IFERROR(__xludf.DUMMYFUNCTION("""COMPUTED_VALUE"""),1201)</f>
        <v>1201</v>
      </c>
      <c r="F15" s="14" t="str">
        <f ca="1">IFERROR(__xludf.DUMMYFUNCTION("""COMPUTED_VALUE"""),"Kalle Andersen ")</f>
        <v xml:space="preserve">Kalle Andersen </v>
      </c>
      <c r="G15" s="14" t="str">
        <f ca="1">IFERROR(__xludf.DUMMYFUNCTION("""COMPUTED_VALUE"""),"kaland@edc.dk")</f>
        <v>kaland@edc.dk</v>
      </c>
      <c r="H15" s="14" t="str">
        <f ca="1">IFERROR(__xludf.DUMMYFUNCTION("""COMPUTED_VALUE"""),"98 57 31 11")</f>
        <v>98 57 31 11</v>
      </c>
      <c r="I15" s="14" t="str">
        <f ca="1">IFERROR(__xludf.DUMMYFUNCTION("""COMPUTED_VALUE"""),"Storegade 20")</f>
        <v>Storegade 20</v>
      </c>
      <c r="J15" s="14">
        <f ca="1">IFERROR(__xludf.DUMMYFUNCTION("""COMPUTED_VALUE"""),9560)</f>
        <v>9560</v>
      </c>
      <c r="K15" s="14" t="str">
        <f ca="1">IFERROR(__xludf.DUMMYFUNCTION("""COMPUTED_VALUE"""),"Hadsund")</f>
        <v>Hadsund</v>
      </c>
      <c r="L15" s="14" t="str">
        <f ca="1">IFERROR(__xludf.DUMMYFUNCTION("""COMPUTED_VALUE"""),"Mariagerfjord")</f>
        <v>Mariagerfjord</v>
      </c>
      <c r="M15" s="14" t="str">
        <f ca="1">IFERROR(__xludf.DUMMYFUNCTION("""COMPUTED_VALUE"""),"Nordjylland")</f>
        <v>Nordjylland</v>
      </c>
      <c r="N15" s="14" t="str">
        <f ca="1">IFERROR(__xludf.DUMMYFUNCTION("""COMPUTED_VALUE"""),"Nordjylland")</f>
        <v>Nordjylland</v>
      </c>
      <c r="O15" s="14" t="str">
        <f ca="1">IFERROR(__xludf.DUMMYFUNCTION("""COMPUTED_VALUE"""),"98 57 31 11")</f>
        <v>98 57 31 11</v>
      </c>
      <c r="P15" s="14" t="str">
        <f ca="1">IFERROR(__xludf.DUMMYFUNCTION("""COMPUTED_VALUE"""),"956@edc.dk")</f>
        <v>956@edc.dk</v>
      </c>
      <c r="Q15" s="15" t="str">
        <f ca="1">IFERROR(__xludf.DUMMYFUNCTION("""COMPUTED_VALUE"""),"https://www.boliga.dk/maegler/194")</f>
        <v>https://www.boliga.dk/maegler/194</v>
      </c>
      <c r="R15" s="14" t="str">
        <f ca="1">IFERROR(__xludf.DUMMYFUNCTION("""COMPUTED_VALUE"""),"-")</f>
        <v>-</v>
      </c>
      <c r="S15" s="14" t="str">
        <f ca="1">IFERROR(__xludf.DUMMYFUNCTION("""COMPUTED_VALUE"""),"-")</f>
        <v>-</v>
      </c>
      <c r="T15" s="14" t="str">
        <f ca="1">IFERROR(__xludf.DUMMYFUNCTION("""COMPUTED_VALUE"""),"-")</f>
        <v>-</v>
      </c>
      <c r="U15" s="14">
        <f ca="1">IFERROR(__xludf.DUMMYFUNCTION("""COMPUTED_VALUE"""),27)</f>
        <v>27</v>
      </c>
      <c r="V15" s="14" t="str">
        <f ca="1">IFERROR(__xludf.DUMMYFUNCTION("""COMPUTED_VALUE"""),"9560, 8970, 8983, 9550")</f>
        <v>9560, 8970, 8983, 9550</v>
      </c>
      <c r="W15" s="14">
        <f ca="1">IFERROR(__xludf.DUMMYFUNCTION("""COMPUTED_VALUE"""),17)</f>
        <v>17</v>
      </c>
      <c r="X15" s="14" t="str">
        <f ca="1">IFERROR(__xludf.DUMMYFUNCTION("""COMPUTED_VALUE"""),"9560, 8970, 9550")</f>
        <v>9560, 8970, 9550</v>
      </c>
      <c r="Y15" s="17" t="str">
        <f ca="1">IFERROR(__xludf.DUMMYFUNCTION("""COMPUTED_VALUE"""),"ja")</f>
        <v>ja</v>
      </c>
      <c r="Z15" s="14"/>
      <c r="AA15" s="16"/>
      <c r="AB15" s="14" t="str">
        <f ca="1">IFERROR(__xludf.DUMMYFUNCTION("""COMPUTED_VALUE"""),"x")</f>
        <v>x</v>
      </c>
      <c r="AC15" s="14" t="str">
        <f ca="1">IFERROR(__xludf.DUMMYFUNCTION("""COMPUTED_VALUE"""),"x")</f>
        <v>x</v>
      </c>
    </row>
    <row r="16" spans="1:30" ht="15.75" customHeight="1" x14ac:dyDescent="0.25">
      <c r="A16" s="14" t="str">
        <f ca="1">IFERROR(__xludf.DUMMYFUNCTION("""COMPUTED_VALUE"""),"Camilla")</f>
        <v>Camilla</v>
      </c>
      <c r="B16" s="14" t="str">
        <f ca="1">IFERROR(__xludf.DUMMYFUNCTION("""COMPUTED_VALUE"""),"EDC Hanne &amp; Hugo Larsen, Thisted")</f>
        <v>EDC Hanne &amp; Hugo Larsen, Thisted</v>
      </c>
      <c r="C16" s="14">
        <f ca="1">IFERROR(__xludf.DUMMYFUNCTION("""COMPUTED_VALUE"""),33567804)</f>
        <v>33567804</v>
      </c>
      <c r="D16" s="14" t="str">
        <f ca="1">IFERROR(__xludf.DUMMYFUNCTION("""COMPUTED_VALUE"""),"MG-JY: 2.499,-")</f>
        <v>MG-JY: 2.499,-</v>
      </c>
      <c r="E16" s="14">
        <f ca="1">IFERROR(__xludf.DUMMYFUNCTION("""COMPUTED_VALUE"""),1201)</f>
        <v>1201</v>
      </c>
      <c r="F16" s="14" t="str">
        <f ca="1">IFERROR(__xludf.DUMMYFUNCTION("""COMPUTED_VALUE"""),"Michael Larsen")</f>
        <v>Michael Larsen</v>
      </c>
      <c r="G16" s="14" t="str">
        <f ca="1">IFERROR(__xludf.DUMMYFUNCTION("""COMPUTED_VALUE"""),"mla@edc.dk")</f>
        <v>mla@edc.dk</v>
      </c>
      <c r="H16" s="14">
        <f ca="1">IFERROR(__xludf.DUMMYFUNCTION("""COMPUTED_VALUE"""),97923700)</f>
        <v>97923700</v>
      </c>
      <c r="I16" s="14" t="str">
        <f ca="1">IFERROR(__xludf.DUMMYFUNCTION("""COMPUTED_VALUE"""),"Vestergade 43")</f>
        <v>Vestergade 43</v>
      </c>
      <c r="J16" s="14">
        <f ca="1">IFERROR(__xludf.DUMMYFUNCTION("""COMPUTED_VALUE"""),7700)</f>
        <v>7700</v>
      </c>
      <c r="K16" s="14" t="str">
        <f ca="1">IFERROR(__xludf.DUMMYFUNCTION("""COMPUTED_VALUE"""),"Thisted")</f>
        <v>Thisted</v>
      </c>
      <c r="L16" s="14" t="str">
        <f ca="1">IFERROR(__xludf.DUMMYFUNCTION("""COMPUTED_VALUE"""),"Thisted")</f>
        <v>Thisted</v>
      </c>
      <c r="M16" s="14" t="str">
        <f ca="1">IFERROR(__xludf.DUMMYFUNCTION("""COMPUTED_VALUE"""),"Nordjylland")</f>
        <v>Nordjylland</v>
      </c>
      <c r="N16" s="14" t="str">
        <f ca="1">IFERROR(__xludf.DUMMYFUNCTION("""COMPUTED_VALUE"""),"Nordjylland")</f>
        <v>Nordjylland</v>
      </c>
      <c r="O16" s="14" t="str">
        <f ca="1">IFERROR(__xludf.DUMMYFUNCTION("""COMPUTED_VALUE"""),"97 92 37 00")</f>
        <v>97 92 37 00</v>
      </c>
      <c r="P16" s="14" t="str">
        <f ca="1">IFERROR(__xludf.DUMMYFUNCTION("""COMPUTED_VALUE"""),"771@edc.dk")</f>
        <v>771@edc.dk</v>
      </c>
      <c r="Q16" s="15" t="str">
        <f ca="1">IFERROR(__xludf.DUMMYFUNCTION("""COMPUTED_VALUE"""),"https://www.boliga.dk/maegler/396")</f>
        <v>https://www.boliga.dk/maegler/396</v>
      </c>
      <c r="R16" s="14" t="str">
        <f ca="1">IFERROR(__xludf.DUMMYFUNCTION("""COMPUTED_VALUE"""),"-")</f>
        <v>-</v>
      </c>
      <c r="S16" s="14" t="str">
        <f ca="1">IFERROR(__xludf.DUMMYFUNCTION("""COMPUTED_VALUE"""),"-")</f>
        <v>-</v>
      </c>
      <c r="T16" s="14" t="str">
        <f ca="1">IFERROR(__xludf.DUMMYFUNCTION("""COMPUTED_VALUE"""),"-")</f>
        <v>-</v>
      </c>
      <c r="U16" s="14">
        <f ca="1">IFERROR(__xludf.DUMMYFUNCTION("""COMPUTED_VALUE"""),49)</f>
        <v>49</v>
      </c>
      <c r="V16" s="14" t="str">
        <f ca="1">IFERROR(__xludf.DUMMYFUNCTION("""COMPUTED_VALUE"""),"7741, 7730, 7742, 7755, 7752, 7700")</f>
        <v>7741, 7730, 7742, 7755, 7752, 7700</v>
      </c>
      <c r="W16" s="14">
        <f ca="1">IFERROR(__xludf.DUMMYFUNCTION("""COMPUTED_VALUE"""),16)</f>
        <v>16</v>
      </c>
      <c r="X16" s="14" t="str">
        <f ca="1">IFERROR(__xludf.DUMMYFUNCTION("""COMPUTED_VALUE"""),"7741, 7752, 7700")</f>
        <v>7741, 7752, 7700</v>
      </c>
      <c r="Y16" s="14" t="str">
        <f ca="1">IFERROR(__xludf.DUMMYFUNCTION("""COMPUTED_VALUE"""),"ja")</f>
        <v>ja</v>
      </c>
      <c r="Z16" s="14"/>
      <c r="AA16" s="16"/>
      <c r="AB16" s="14" t="str">
        <f ca="1">IFERROR(__xludf.DUMMYFUNCTION("""COMPUTED_VALUE"""),"x")</f>
        <v>x</v>
      </c>
      <c r="AC16" s="14" t="str">
        <f ca="1">IFERROR(__xludf.DUMMYFUNCTION("""COMPUTED_VALUE"""),"x")</f>
        <v>x</v>
      </c>
    </row>
    <row r="17" spans="1:29" ht="15.75" customHeight="1" x14ac:dyDescent="0.25">
      <c r="A17" s="14" t="str">
        <f ca="1">IFERROR(__xludf.DUMMYFUNCTION("""COMPUTED_VALUE"""),"Camilla")</f>
        <v>Camilla</v>
      </c>
      <c r="B17" s="14" t="str">
        <f ca="1">IFERROR(__xludf.DUMMYFUNCTION("""COMPUTED_VALUE"""),"EDC Løgstør")</f>
        <v>EDC Løgstør</v>
      </c>
      <c r="C17" s="14">
        <f ca="1">IFERROR(__xludf.DUMMYFUNCTION("""COMPUTED_VALUE"""),41594527)</f>
        <v>41594527</v>
      </c>
      <c r="D17" s="14" t="str">
        <f ca="1">IFERROR(__xludf.DUMMYFUNCTION("""COMPUTED_VALUE"""),"MG-JY: 2.499,-")</f>
        <v>MG-JY: 2.499,-</v>
      </c>
      <c r="E17" s="14">
        <f ca="1">IFERROR(__xludf.DUMMYFUNCTION("""COMPUTED_VALUE"""),1201)</f>
        <v>1201</v>
      </c>
      <c r="F17" s="14" t="str">
        <f ca="1">IFERROR(__xludf.DUMMYFUNCTION("""COMPUTED_VALUE"""),"Tobias Møller")</f>
        <v>Tobias Møller</v>
      </c>
      <c r="G17" s="14" t="str">
        <f ca="1">IFERROR(__xludf.DUMMYFUNCTION("""COMPUTED_VALUE"""),"tomo@edc.dk")</f>
        <v>tomo@edc.dk</v>
      </c>
      <c r="H17" s="14" t="str">
        <f ca="1">IFERROR(__xludf.DUMMYFUNCTION("""COMPUTED_VALUE"""),"30 55 59 30")</f>
        <v>30 55 59 30</v>
      </c>
      <c r="I17" s="14" t="str">
        <f ca="1">IFERROR(__xludf.DUMMYFUNCTION("""COMPUTED_VALUE"""),"Bredgade 3B")</f>
        <v>Bredgade 3B</v>
      </c>
      <c r="J17" s="14">
        <f ca="1">IFERROR(__xludf.DUMMYFUNCTION("""COMPUTED_VALUE"""),9670)</f>
        <v>9670</v>
      </c>
      <c r="K17" s="14" t="str">
        <f ca="1">IFERROR(__xludf.DUMMYFUNCTION("""COMPUTED_VALUE"""),"Løgstør")</f>
        <v>Løgstør</v>
      </c>
      <c r="L17" s="14" t="str">
        <f ca="1">IFERROR(__xludf.DUMMYFUNCTION("""COMPUTED_VALUE"""),"Vesthimmerlands")</f>
        <v>Vesthimmerlands</v>
      </c>
      <c r="M17" s="14" t="str">
        <f ca="1">IFERROR(__xludf.DUMMYFUNCTION("""COMPUTED_VALUE"""),"Nordjylland")</f>
        <v>Nordjylland</v>
      </c>
      <c r="N17" s="14" t="str">
        <f ca="1">IFERROR(__xludf.DUMMYFUNCTION("""COMPUTED_VALUE"""),"Nordjylland")</f>
        <v>Nordjylland</v>
      </c>
      <c r="O17" s="14" t="str">
        <f ca="1">IFERROR(__xludf.DUMMYFUNCTION("""COMPUTED_VALUE"""),"98 67 33 44")</f>
        <v>98 67 33 44</v>
      </c>
      <c r="P17" s="14" t="str">
        <f ca="1">IFERROR(__xludf.DUMMYFUNCTION("""COMPUTED_VALUE"""),"967@edc.dk")</f>
        <v>967@edc.dk</v>
      </c>
      <c r="Q17" s="15" t="str">
        <f ca="1">IFERROR(__xludf.DUMMYFUNCTION("""COMPUTED_VALUE"""),"https://www.boliga.dk/maegler/623")</f>
        <v>https://www.boliga.dk/maegler/623</v>
      </c>
      <c r="R17" s="14" t="str">
        <f ca="1">IFERROR(__xludf.DUMMYFUNCTION("""COMPUTED_VALUE"""),"-")</f>
        <v>-</v>
      </c>
      <c r="S17" s="14" t="str">
        <f ca="1">IFERROR(__xludf.DUMMYFUNCTION("""COMPUTED_VALUE"""),"-")</f>
        <v>-</v>
      </c>
      <c r="T17" s="14" t="str">
        <f ca="1">IFERROR(__xludf.DUMMYFUNCTION("""COMPUTED_VALUE"""),"-")</f>
        <v>-</v>
      </c>
      <c r="U17" s="14">
        <f ca="1">IFERROR(__xludf.DUMMYFUNCTION("""COMPUTED_VALUE"""),66)</f>
        <v>66</v>
      </c>
      <c r="V17" s="14" t="str">
        <f ca="1">IFERROR(__xludf.DUMMYFUNCTION("""COMPUTED_VALUE"""),"9240, 9640, 9280, 7741, 9670, 9620, 9690, 9681")</f>
        <v>9240, 9640, 9280, 7741, 9670, 9620, 9690, 9681</v>
      </c>
      <c r="W17" s="14">
        <f ca="1">IFERROR(__xludf.DUMMYFUNCTION("""COMPUTED_VALUE"""),22)</f>
        <v>22</v>
      </c>
      <c r="X17" s="14" t="str">
        <f ca="1">IFERROR(__xludf.DUMMYFUNCTION("""COMPUTED_VALUE"""),"9240, 9670, 9681, 9690")</f>
        <v>9240, 9670, 9681, 9690</v>
      </c>
      <c r="Y17" s="14" t="str">
        <f ca="1">IFERROR(__xludf.DUMMYFUNCTION("""COMPUTED_VALUE"""),"ja")</f>
        <v>ja</v>
      </c>
      <c r="Z17" s="14"/>
      <c r="AA17" s="16"/>
      <c r="AB17" s="14" t="str">
        <f ca="1">IFERROR(__xludf.DUMMYFUNCTION("""COMPUTED_VALUE"""),"x")</f>
        <v>x</v>
      </c>
      <c r="AC17" s="14" t="str">
        <f ca="1">IFERROR(__xludf.DUMMYFUNCTION("""COMPUTED_VALUE"""),"x")</f>
        <v>x</v>
      </c>
    </row>
    <row r="18" spans="1:29" ht="15.75" customHeight="1" x14ac:dyDescent="0.25">
      <c r="A18" s="14" t="str">
        <f ca="1">IFERROR(__xludf.DUMMYFUNCTION("""COMPUTED_VALUE"""),"Camilla")</f>
        <v>Camilla</v>
      </c>
      <c r="B18" s="14" t="str">
        <f ca="1">IFERROR(__xludf.DUMMYFUNCTION("""COMPUTED_VALUE"""),"EDC Morten Brix, Brovst")</f>
        <v>EDC Morten Brix, Brovst</v>
      </c>
      <c r="C18" s="14">
        <f ca="1">IFERROR(__xludf.DUMMYFUNCTION("""COMPUTED_VALUE"""),41594527)</f>
        <v>41594527</v>
      </c>
      <c r="D18" s="14" t="str">
        <f ca="1">IFERROR(__xludf.DUMMYFUNCTION("""COMPUTED_VALUE"""),"MG-JY: 2.499,-")</f>
        <v>MG-JY: 2.499,-</v>
      </c>
      <c r="E18" s="14">
        <f ca="1">IFERROR(__xludf.DUMMYFUNCTION("""COMPUTED_VALUE"""),1201)</f>
        <v>1201</v>
      </c>
      <c r="F18" s="14" t="str">
        <f ca="1">IFERROR(__xludf.DUMMYFUNCTION("""COMPUTED_VALUE"""),"Morten Brix ")</f>
        <v xml:space="preserve">Morten Brix </v>
      </c>
      <c r="G18" s="14" t="str">
        <f ca="1">IFERROR(__xludf.DUMMYFUNCTION("""COMPUTED_VALUE"""),"mbrix.946@edc.dk")</f>
        <v>mbrix.946@edc.dk</v>
      </c>
      <c r="H18" s="14" t="str">
        <f ca="1">IFERROR(__xludf.DUMMYFUNCTION("""COMPUTED_VALUE"""),"40 63 18 57")</f>
        <v>40 63 18 57</v>
      </c>
      <c r="I18" s="14" t="str">
        <f ca="1">IFERROR(__xludf.DUMMYFUNCTION("""COMPUTED_VALUE"""),"Jernbanegade 8")</f>
        <v>Jernbanegade 8</v>
      </c>
      <c r="J18" s="14">
        <f ca="1">IFERROR(__xludf.DUMMYFUNCTION("""COMPUTED_VALUE"""),9460)</f>
        <v>9460</v>
      </c>
      <c r="K18" s="14" t="str">
        <f ca="1">IFERROR(__xludf.DUMMYFUNCTION("""COMPUTED_VALUE"""),"Brovst")</f>
        <v>Brovst</v>
      </c>
      <c r="L18" s="14" t="str">
        <f ca="1">IFERROR(__xludf.DUMMYFUNCTION("""COMPUTED_VALUE"""),"Jammerbugt")</f>
        <v>Jammerbugt</v>
      </c>
      <c r="M18" s="14" t="str">
        <f ca="1">IFERROR(__xludf.DUMMYFUNCTION("""COMPUTED_VALUE"""),"Nordjylland")</f>
        <v>Nordjylland</v>
      </c>
      <c r="N18" s="14" t="str">
        <f ca="1">IFERROR(__xludf.DUMMYFUNCTION("""COMPUTED_VALUE"""),"Nordjylland")</f>
        <v>Nordjylland</v>
      </c>
      <c r="O18" s="14" t="str">
        <f ca="1">IFERROR(__xludf.DUMMYFUNCTION("""COMPUTED_VALUE"""),"98 23 24 44")</f>
        <v>98 23 24 44</v>
      </c>
      <c r="P18" s="14" t="str">
        <f ca="1">IFERROR(__xludf.DUMMYFUNCTION("""COMPUTED_VALUE"""),"946@edc.dk")</f>
        <v>946@edc.dk</v>
      </c>
      <c r="Q18" s="15" t="str">
        <f ca="1">IFERROR(__xludf.DUMMYFUNCTION("""COMPUTED_VALUE"""),"https://www.boliga.dk/maegler/28")</f>
        <v>https://www.boliga.dk/maegler/28</v>
      </c>
      <c r="R18" s="14" t="str">
        <f ca="1">IFERROR(__xludf.DUMMYFUNCTION("""COMPUTED_VALUE"""),"-")</f>
        <v>-</v>
      </c>
      <c r="S18" s="14" t="str">
        <f ca="1">IFERROR(__xludf.DUMMYFUNCTION("""COMPUTED_VALUE"""),"-")</f>
        <v>-</v>
      </c>
      <c r="T18" s="14" t="str">
        <f ca="1">IFERROR(__xludf.DUMMYFUNCTION("""COMPUTED_VALUE"""),"-")</f>
        <v>-</v>
      </c>
      <c r="U18" s="14">
        <f ca="1">IFERROR(__xludf.DUMMYFUNCTION("""COMPUTED_VALUE"""),95)</f>
        <v>95</v>
      </c>
      <c r="V18" s="14" t="str">
        <f ca="1">IFERROR(__xludf.DUMMYFUNCTION("""COMPUTED_VALUE"""),"9460, 9690")</f>
        <v>9460, 9690</v>
      </c>
      <c r="W18" s="14">
        <f ca="1">IFERROR(__xludf.DUMMYFUNCTION("""COMPUTED_VALUE"""),31)</f>
        <v>31</v>
      </c>
      <c r="X18" s="14" t="str">
        <f ca="1">IFERROR(__xludf.DUMMYFUNCTION("""COMPUTED_VALUE"""),"9440, 9460, 9690")</f>
        <v>9440, 9460, 9690</v>
      </c>
      <c r="Y18" s="14" t="str">
        <f ca="1">IFERROR(__xludf.DUMMYFUNCTION("""COMPUTED_VALUE"""),"ja")</f>
        <v>ja</v>
      </c>
      <c r="Z18" s="14"/>
      <c r="AA18" s="16"/>
      <c r="AB18" s="14" t="str">
        <f ca="1">IFERROR(__xludf.DUMMYFUNCTION("""COMPUTED_VALUE"""),"x")</f>
        <v>x</v>
      </c>
      <c r="AC18" s="14" t="str">
        <f ca="1">IFERROR(__xludf.DUMMYFUNCTION("""COMPUTED_VALUE"""),"x")</f>
        <v>x</v>
      </c>
    </row>
    <row r="19" spans="1:29" ht="12.5" x14ac:dyDescent="0.25">
      <c r="A19" s="14" t="str">
        <f ca="1">IFERROR(__xludf.DUMMYFUNCTION("""COMPUTED_VALUE"""),"Camilla")</f>
        <v>Camilla</v>
      </c>
      <c r="B19" s="14" t="str">
        <f ca="1">IFERROR(__xludf.DUMMYFUNCTION("""COMPUTED_VALUE"""),"EDC Ole Bo, Skagen")</f>
        <v>EDC Ole Bo, Skagen</v>
      </c>
      <c r="C19" s="14">
        <f ca="1">IFERROR(__xludf.DUMMYFUNCTION("""COMPUTED_VALUE"""),11349390)</f>
        <v>11349390</v>
      </c>
      <c r="D19" s="14" t="str">
        <f ca="1">IFERROR(__xludf.DUMMYFUNCTION("""COMPUTED_VALUE"""),"MG-JY: 2.499,-")</f>
        <v>MG-JY: 2.499,-</v>
      </c>
      <c r="E19" s="14">
        <f ca="1">IFERROR(__xludf.DUMMYFUNCTION("""COMPUTED_VALUE"""),1201)</f>
        <v>1201</v>
      </c>
      <c r="F19" s="14" t="str">
        <f ca="1">IFERROR(__xludf.DUMMYFUNCTION("""COMPUTED_VALUE"""),"Ole Bo")</f>
        <v>Ole Bo</v>
      </c>
      <c r="G19" s="14" t="str">
        <f ca="1">IFERROR(__xludf.DUMMYFUNCTION("""COMPUTED_VALUE"""),"olebo.999@edc.dk")</f>
        <v>olebo.999@edc.dk</v>
      </c>
      <c r="H19" s="14" t="str">
        <f ca="1">IFERROR(__xludf.DUMMYFUNCTION("""COMPUTED_VALUE"""),"98 44 16 16")</f>
        <v>98 44 16 16</v>
      </c>
      <c r="I19" s="14" t="str">
        <f ca="1">IFERROR(__xludf.DUMMYFUNCTION("""COMPUTED_VALUE"""),"Sct. Laurentii Vej 63 C")</f>
        <v>Sct. Laurentii Vej 63 C</v>
      </c>
      <c r="J19" s="14">
        <f ca="1">IFERROR(__xludf.DUMMYFUNCTION("""COMPUTED_VALUE"""),9990)</f>
        <v>9990</v>
      </c>
      <c r="K19" s="14" t="str">
        <f ca="1">IFERROR(__xludf.DUMMYFUNCTION("""COMPUTED_VALUE"""),"Skagen")</f>
        <v>Skagen</v>
      </c>
      <c r="L19" s="14" t="str">
        <f ca="1">IFERROR(__xludf.DUMMYFUNCTION("""COMPUTED_VALUE"""),"Frederikshavn")</f>
        <v>Frederikshavn</v>
      </c>
      <c r="M19" s="14" t="str">
        <f ca="1">IFERROR(__xludf.DUMMYFUNCTION("""COMPUTED_VALUE"""),"Nordjylland")</f>
        <v>Nordjylland</v>
      </c>
      <c r="N19" s="14" t="str">
        <f ca="1">IFERROR(__xludf.DUMMYFUNCTION("""COMPUTED_VALUE"""),"Nordjylland")</f>
        <v>Nordjylland</v>
      </c>
      <c r="O19" s="14" t="str">
        <f ca="1">IFERROR(__xludf.DUMMYFUNCTION("""COMPUTED_VALUE"""),"98 44 16 16")</f>
        <v>98 44 16 16</v>
      </c>
      <c r="P19" s="14" t="str">
        <f ca="1">IFERROR(__xludf.DUMMYFUNCTION("""COMPUTED_VALUE"""),"999@edc.dk")</f>
        <v>999@edc.dk</v>
      </c>
      <c r="Q19" s="15" t="str">
        <f ca="1">IFERROR(__xludf.DUMMYFUNCTION("""COMPUTED_VALUE"""),"https://www.boliga.dk/maegler/454")</f>
        <v>https://www.boliga.dk/maegler/454</v>
      </c>
      <c r="R19" s="14" t="str">
        <f ca="1">IFERROR(__xludf.DUMMYFUNCTION("""COMPUTED_VALUE"""),"-")</f>
        <v>-</v>
      </c>
      <c r="S19" s="14" t="str">
        <f ca="1">IFERROR(__xludf.DUMMYFUNCTION("""COMPUTED_VALUE"""),"-")</f>
        <v>-</v>
      </c>
      <c r="T19" s="14" t="str">
        <f ca="1">IFERROR(__xludf.DUMMYFUNCTION("""COMPUTED_VALUE"""),"-")</f>
        <v>-</v>
      </c>
      <c r="U19" s="14">
        <f ca="1">IFERROR(__xludf.DUMMYFUNCTION("""COMPUTED_VALUE"""),56)</f>
        <v>56</v>
      </c>
      <c r="V19" s="14" t="str">
        <f ca="1">IFERROR(__xludf.DUMMYFUNCTION("""COMPUTED_VALUE"""),"9982, 9981, 9990")</f>
        <v>9982, 9981, 9990</v>
      </c>
      <c r="W19" s="14">
        <f ca="1">IFERROR(__xludf.DUMMYFUNCTION("""COMPUTED_VALUE"""),30)</f>
        <v>30</v>
      </c>
      <c r="X19" s="14" t="str">
        <f ca="1">IFERROR(__xludf.DUMMYFUNCTION("""COMPUTED_VALUE"""),"9982, 9990")</f>
        <v>9982, 9990</v>
      </c>
      <c r="Y19" s="14" t="str">
        <f ca="1">IFERROR(__xludf.DUMMYFUNCTION("""COMPUTED_VALUE"""),"ja")</f>
        <v>ja</v>
      </c>
      <c r="Z19" s="14"/>
      <c r="AA19" s="16"/>
      <c r="AB19" s="14" t="str">
        <f ca="1">IFERROR(__xludf.DUMMYFUNCTION("""COMPUTED_VALUE"""),"x")</f>
        <v>x</v>
      </c>
      <c r="AC19" s="14" t="str">
        <f ca="1">IFERROR(__xludf.DUMMYFUNCTION("""COMPUTED_VALUE"""),"x")</f>
        <v>x</v>
      </c>
    </row>
    <row r="20" spans="1:29" ht="12.5" x14ac:dyDescent="0.25">
      <c r="A20" s="14" t="str">
        <f ca="1">IFERROR(__xludf.DUMMYFUNCTION("""COMPUTED_VALUE"""),"Camilla")</f>
        <v>Camilla</v>
      </c>
      <c r="B20" s="14" t="str">
        <f ca="1">IFERROR(__xludf.DUMMYFUNCTION("""COMPUTED_VALUE"""),"EDC Erland's, Holbæk")</f>
        <v>EDC Erland's, Holbæk</v>
      </c>
      <c r="C20" s="14">
        <f ca="1">IFERROR(__xludf.DUMMYFUNCTION("""COMPUTED_VALUE"""),35230815)</f>
        <v>35230815</v>
      </c>
      <c r="D20" s="14" t="str">
        <f ca="1">IFERROR(__xludf.DUMMYFUNCTION("""COMPUTED_VALUE"""),"MG-SJ: 3.499,-")</f>
        <v>MG-SJ: 3.499,-</v>
      </c>
      <c r="E20" s="14">
        <f ca="1">IFERROR(__xludf.DUMMYFUNCTION("""COMPUTED_VALUE"""),1202)</f>
        <v>1202</v>
      </c>
      <c r="F20" s="14" t="str">
        <f ca="1">IFERROR(__xludf.DUMMYFUNCTION("""COMPUTED_VALUE"""),"John Erland")</f>
        <v>John Erland</v>
      </c>
      <c r="G20" s="14" t="str">
        <f ca="1">IFERROR(__xludf.DUMMYFUNCTION("""COMPUTED_VALUE"""),"je.430@edc.dk")</f>
        <v>je.430@edc.dk</v>
      </c>
      <c r="H20" s="14" t="str">
        <f ca="1">IFERROR(__xludf.DUMMYFUNCTION("""COMPUTED_VALUE"""),"20 30 56 22")</f>
        <v>20 30 56 22</v>
      </c>
      <c r="I20" s="14" t="str">
        <f ca="1">IFERROR(__xludf.DUMMYFUNCTION("""COMPUTED_VALUE"""),"Ahlgade 3")</f>
        <v>Ahlgade 3</v>
      </c>
      <c r="J20" s="14">
        <f ca="1">IFERROR(__xludf.DUMMYFUNCTION("""COMPUTED_VALUE"""),4300)</f>
        <v>4300</v>
      </c>
      <c r="K20" s="14" t="str">
        <f ca="1">IFERROR(__xludf.DUMMYFUNCTION("""COMPUTED_VALUE"""),"Holbæk")</f>
        <v>Holbæk</v>
      </c>
      <c r="L20" s="14" t="str">
        <f ca="1">IFERROR(__xludf.DUMMYFUNCTION("""COMPUTED_VALUE"""),"Holbæk")</f>
        <v>Holbæk</v>
      </c>
      <c r="M20" s="14" t="str">
        <f ca="1">IFERROR(__xludf.DUMMYFUNCTION("""COMPUTED_VALUE"""),"Vest- og Sydsjælland")</f>
        <v>Vest- og Sydsjælland</v>
      </c>
      <c r="N20" s="14" t="str">
        <f ca="1">IFERROR(__xludf.DUMMYFUNCTION("""COMPUTED_VALUE"""),"Sjælland")</f>
        <v>Sjælland</v>
      </c>
      <c r="O20" s="14" t="str">
        <f ca="1">IFERROR(__xludf.DUMMYFUNCTION("""COMPUTED_VALUE"""),"59 44 00 22")</f>
        <v>59 44 00 22</v>
      </c>
      <c r="P20" s="14" t="str">
        <f ca="1">IFERROR(__xludf.DUMMYFUNCTION("""COMPUTED_VALUE"""),"430@edc.dk")</f>
        <v>430@edc.dk</v>
      </c>
      <c r="Q20" s="15" t="str">
        <f ca="1">IFERROR(__xludf.DUMMYFUNCTION("""COMPUTED_VALUE"""),"https://www.boliga.dk/maegler/487")</f>
        <v>https://www.boliga.dk/maegler/487</v>
      </c>
      <c r="R20" s="14" t="str">
        <f ca="1">IFERROR(__xludf.DUMMYFUNCTION("""COMPUTED_VALUE"""),"-")</f>
        <v>-</v>
      </c>
      <c r="S20" s="14" t="str">
        <f ca="1">IFERROR(__xludf.DUMMYFUNCTION("""COMPUTED_VALUE"""),"-")</f>
        <v>-</v>
      </c>
      <c r="T20" s="14" t="str">
        <f ca="1">IFERROR(__xludf.DUMMYFUNCTION("""COMPUTED_VALUE"""),"-")</f>
        <v>-</v>
      </c>
      <c r="U20" s="14">
        <f ca="1">IFERROR(__xludf.DUMMYFUNCTION("""COMPUTED_VALUE"""),37)</f>
        <v>37</v>
      </c>
      <c r="V20" s="14" t="str">
        <f ca="1">IFERROR(__xludf.DUMMYFUNCTION("""COMPUTED_VALUE"""),"4305, 4300, 4100, 4520, 4440, 4000, 4400, 4420, 4571, 4913")</f>
        <v>4305, 4300, 4100, 4520, 4440, 4000, 4400, 4420, 4571, 4913</v>
      </c>
      <c r="W20" s="14">
        <f ca="1">IFERROR(__xludf.DUMMYFUNCTION("""COMPUTED_VALUE"""),26)</f>
        <v>26</v>
      </c>
      <c r="X20" s="14" t="str">
        <f ca="1">IFERROR(__xludf.DUMMYFUNCTION("""COMPUTED_VALUE"""),"4305, 4500, 4440, 4330, 4300, 4520, 4390, 4420")</f>
        <v>4305, 4500, 4440, 4330, 4300, 4520, 4390, 4420</v>
      </c>
      <c r="Y20" s="14" t="str">
        <f ca="1">IFERROR(__xludf.DUMMYFUNCTION("""COMPUTED_VALUE"""),"ja")</f>
        <v>ja</v>
      </c>
      <c r="Z20" s="14"/>
      <c r="AA20" s="16"/>
      <c r="AB20" s="14" t="str">
        <f ca="1">IFERROR(__xludf.DUMMYFUNCTION("""COMPUTED_VALUE"""),"x")</f>
        <v>x</v>
      </c>
      <c r="AC20" s="14" t="str">
        <f ca="1">IFERROR(__xludf.DUMMYFUNCTION("""COMPUTED_VALUE"""),"x")</f>
        <v>x</v>
      </c>
    </row>
    <row r="21" spans="1:29" ht="12.5" x14ac:dyDescent="0.25">
      <c r="A21" s="14" t="str">
        <f ca="1">IFERROR(__xludf.DUMMYFUNCTION("""COMPUTED_VALUE"""),"Camilla")</f>
        <v>Camilla</v>
      </c>
      <c r="B21" s="14" t="str">
        <f ca="1">IFERROR(__xludf.DUMMYFUNCTION("""COMPUTED_VALUE"""),"EDC Jyderup")</f>
        <v>EDC Jyderup</v>
      </c>
      <c r="C21" s="14">
        <f ca="1">IFERROR(__xludf.DUMMYFUNCTION("""COMPUTED_VALUE"""),26405262)</f>
        <v>26405262</v>
      </c>
      <c r="D21" s="14" t="str">
        <f ca="1">IFERROR(__xludf.DUMMYFUNCTION("""COMPUTED_VALUE"""),"MG-SJ: 3.499,-")</f>
        <v>MG-SJ: 3.499,-</v>
      </c>
      <c r="E21" s="14">
        <f ca="1">IFERROR(__xludf.DUMMYFUNCTION("""COMPUTED_VALUE"""),1202)</f>
        <v>1202</v>
      </c>
      <c r="F21" s="14" t="str">
        <f ca="1">IFERROR(__xludf.DUMMYFUNCTION("""COMPUTED_VALUE"""),"Line Hansen")</f>
        <v>Line Hansen</v>
      </c>
      <c r="G21" s="14" t="str">
        <f ca="1">IFERROR(__xludf.DUMMYFUNCTION("""COMPUTED_VALUE"""),"lh.445@edc.dk")</f>
        <v>lh.445@edc.dk</v>
      </c>
      <c r="H21" s="14">
        <f ca="1">IFERROR(__xludf.DUMMYFUNCTION("""COMPUTED_VALUE"""),61548005)</f>
        <v>61548005</v>
      </c>
      <c r="I21" s="14" t="str">
        <f ca="1">IFERROR(__xludf.DUMMYFUNCTION("""COMPUTED_VALUE"""),"Sølystvej 5b")</f>
        <v>Sølystvej 5b</v>
      </c>
      <c r="J21" s="14">
        <f ca="1">IFERROR(__xludf.DUMMYFUNCTION("""COMPUTED_VALUE"""),4450)</f>
        <v>4450</v>
      </c>
      <c r="K21" s="14" t="str">
        <f ca="1">IFERROR(__xludf.DUMMYFUNCTION("""COMPUTED_VALUE"""),"Jyderup")</f>
        <v>Jyderup</v>
      </c>
      <c r="L21" s="14" t="str">
        <f ca="1">IFERROR(__xludf.DUMMYFUNCTION("""COMPUTED_VALUE"""),"Holbæk")</f>
        <v>Holbæk</v>
      </c>
      <c r="M21" s="14" t="str">
        <f ca="1">IFERROR(__xludf.DUMMYFUNCTION("""COMPUTED_VALUE"""),"Vest- og Sydsjælland")</f>
        <v>Vest- og Sydsjælland</v>
      </c>
      <c r="N21" s="14" t="str">
        <f ca="1">IFERROR(__xludf.DUMMYFUNCTION("""COMPUTED_VALUE"""),"Sjælland")</f>
        <v>Sjælland</v>
      </c>
      <c r="O21" s="14" t="str">
        <f ca="1">IFERROR(__xludf.DUMMYFUNCTION("""COMPUTED_VALUE"""),"59 27 66 66")</f>
        <v>59 27 66 66</v>
      </c>
      <c r="P21" s="14" t="str">
        <f ca="1">IFERROR(__xludf.DUMMYFUNCTION("""COMPUTED_VALUE"""),"445@edc.dk")</f>
        <v>445@edc.dk</v>
      </c>
      <c r="Q21" s="15" t="str">
        <f ca="1">IFERROR(__xludf.DUMMYFUNCTION("""COMPUTED_VALUE"""),"https://www.boliga.dk/maegler/991")</f>
        <v>https://www.boliga.dk/maegler/991</v>
      </c>
      <c r="R21" s="14" t="str">
        <f ca="1">IFERROR(__xludf.DUMMYFUNCTION("""COMPUTED_VALUE"""),"-")</f>
        <v>-</v>
      </c>
      <c r="S21" s="14" t="str">
        <f ca="1">IFERROR(__xludf.DUMMYFUNCTION("""COMPUTED_VALUE"""),"-")</f>
        <v>-</v>
      </c>
      <c r="T21" s="14" t="str">
        <f ca="1">IFERROR(__xludf.DUMMYFUNCTION("""COMPUTED_VALUE"""),"-")</f>
        <v>-</v>
      </c>
      <c r="U21" s="14">
        <f ca="1">IFERROR(__xludf.DUMMYFUNCTION("""COMPUTED_VALUE"""),33)</f>
        <v>33</v>
      </c>
      <c r="V21" s="14" t="str">
        <f ca="1">IFERROR(__xludf.DUMMYFUNCTION("""COMPUTED_VALUE"""),"4490, 4295, 4190, 4460, 4520, 4450, 4591, 4291, 4593, 4534, 4400, 4440")</f>
        <v>4490, 4295, 4190, 4460, 4520, 4450, 4591, 4291, 4593, 4534, 4400, 4440</v>
      </c>
      <c r="W21" s="14">
        <f ca="1">IFERROR(__xludf.DUMMYFUNCTION("""COMPUTED_VALUE"""),31)</f>
        <v>31</v>
      </c>
      <c r="X21" s="14" t="str">
        <f ca="1">IFERROR(__xludf.DUMMYFUNCTION("""COMPUTED_VALUE"""),"4281, 4450, 4470, 4100, 4490, 4593, 4520, 4400, 4591, 4460, 4440, 4534, 4550")</f>
        <v>4281, 4450, 4470, 4100, 4490, 4593, 4520, 4400, 4591, 4460, 4440, 4534, 4550</v>
      </c>
      <c r="Y21" s="14" t="str">
        <f ca="1">IFERROR(__xludf.DUMMYFUNCTION("""COMPUTED_VALUE"""),"ja")</f>
        <v>ja</v>
      </c>
      <c r="Z21" s="14"/>
      <c r="AA21" s="16"/>
      <c r="AB21" s="14" t="str">
        <f ca="1">IFERROR(__xludf.DUMMYFUNCTION("""COMPUTED_VALUE"""),"x")</f>
        <v>x</v>
      </c>
      <c r="AC21" s="14" t="str">
        <f ca="1">IFERROR(__xludf.DUMMYFUNCTION("""COMPUTED_VALUE"""),"x")</f>
        <v>x</v>
      </c>
    </row>
    <row r="22" spans="1:29" ht="12.5" x14ac:dyDescent="0.25">
      <c r="A22" s="14" t="str">
        <f ca="1">IFERROR(__xludf.DUMMYFUNCTION("""COMPUTED_VALUE"""),"Camilla")</f>
        <v>Camilla</v>
      </c>
      <c r="B22" s="14" t="str">
        <f ca="1">IFERROR(__xludf.DUMMYFUNCTION("""COMPUTED_VALUE"""),"EDC Møller Jensen, Maribo")</f>
        <v>EDC Møller Jensen, Maribo</v>
      </c>
      <c r="C22" s="14">
        <f ca="1">IFERROR(__xludf.DUMMYFUNCTION("""COMPUTED_VALUE"""),30722833)</f>
        <v>30722833</v>
      </c>
      <c r="D22" s="14" t="str">
        <f ca="1">IFERROR(__xludf.DUMMYFUNCTION("""COMPUTED_VALUE"""),"MG-SJ: 3.499,-")</f>
        <v>MG-SJ: 3.499,-</v>
      </c>
      <c r="E22" s="14">
        <f ca="1">IFERROR(__xludf.DUMMYFUNCTION("""COMPUTED_VALUE"""),1202)</f>
        <v>1202</v>
      </c>
      <c r="F22" s="14" t="str">
        <f ca="1">IFERROR(__xludf.DUMMYFUNCTION("""COMPUTED_VALUE"""),"Klaus Andersen")</f>
        <v>Klaus Andersen</v>
      </c>
      <c r="G22" s="14" t="str">
        <f ca="1">IFERROR(__xludf.DUMMYFUNCTION("""COMPUTED_VALUE"""),"klaus@edc.dk")</f>
        <v>klaus@edc.dk</v>
      </c>
      <c r="H22" s="14">
        <f ca="1">IFERROR(__xludf.DUMMYFUNCTION("""COMPUTED_VALUE"""),20716050)</f>
        <v>20716050</v>
      </c>
      <c r="I22" s="14" t="str">
        <f ca="1">IFERROR(__xludf.DUMMYFUNCTION("""COMPUTED_VALUE"""),"Torvet 9")</f>
        <v>Torvet 9</v>
      </c>
      <c r="J22" s="14">
        <f ca="1">IFERROR(__xludf.DUMMYFUNCTION("""COMPUTED_VALUE"""),4930)</f>
        <v>4930</v>
      </c>
      <c r="K22" s="14" t="str">
        <f ca="1">IFERROR(__xludf.DUMMYFUNCTION("""COMPUTED_VALUE"""),"Maribo")</f>
        <v>Maribo</v>
      </c>
      <c r="L22" s="14" t="str">
        <f ca="1">IFERROR(__xludf.DUMMYFUNCTION("""COMPUTED_VALUE"""),"Lolland")</f>
        <v>Lolland</v>
      </c>
      <c r="M22" s="14" t="str">
        <f ca="1">IFERROR(__xludf.DUMMYFUNCTION("""COMPUTED_VALUE"""),"Vest- og Sydsjælland")</f>
        <v>Vest- og Sydsjælland</v>
      </c>
      <c r="N22" s="14" t="str">
        <f ca="1">IFERROR(__xludf.DUMMYFUNCTION("""COMPUTED_VALUE"""),"Sjælland")</f>
        <v>Sjælland</v>
      </c>
      <c r="O22" s="14" t="str">
        <f ca="1">IFERROR(__xludf.DUMMYFUNCTION("""COMPUTED_VALUE"""),"54 78 16 11")</f>
        <v>54 78 16 11</v>
      </c>
      <c r="P22" s="14" t="str">
        <f ca="1">IFERROR(__xludf.DUMMYFUNCTION("""COMPUTED_VALUE"""),"493@edc.dk")</f>
        <v>493@edc.dk</v>
      </c>
      <c r="Q22" s="15" t="str">
        <f ca="1">IFERROR(__xludf.DUMMYFUNCTION("""COMPUTED_VALUE"""),"https://www.boliga.dk/maegler/249")</f>
        <v>https://www.boliga.dk/maegler/249</v>
      </c>
      <c r="R22" s="14" t="str">
        <f ca="1">IFERROR(__xludf.DUMMYFUNCTION("""COMPUTED_VALUE"""),"-")</f>
        <v>-</v>
      </c>
      <c r="S22" s="14" t="str">
        <f ca="1">IFERROR(__xludf.DUMMYFUNCTION("""COMPUTED_VALUE"""),"-")</f>
        <v>-</v>
      </c>
      <c r="T22" s="14" t="str">
        <f ca="1">IFERROR(__xludf.DUMMYFUNCTION("""COMPUTED_VALUE"""),"-")</f>
        <v>-</v>
      </c>
      <c r="U22" s="14">
        <f ca="1">IFERROR(__xludf.DUMMYFUNCTION("""COMPUTED_VALUE"""),75)</f>
        <v>75</v>
      </c>
      <c r="V22" s="14" t="str">
        <f ca="1">IFERROR(__xludf.DUMMYFUNCTION("""COMPUTED_VALUE"""),"4930, 4862, 4894, 4920, 4941, 4913, 4952, 4990, 4951, 4960")</f>
        <v>4930, 4862, 4894, 4920, 4941, 4913, 4952, 4990, 4951, 4960</v>
      </c>
      <c r="W22" s="14">
        <f ca="1">IFERROR(__xludf.DUMMYFUNCTION("""COMPUTED_VALUE"""),47)</f>
        <v>47</v>
      </c>
      <c r="X22" s="14" t="str">
        <f ca="1">IFERROR(__xludf.DUMMYFUNCTION("""COMPUTED_VALUE"""),"4880, 4862, 4894, 4920, 4930, 4970, 4952, 4892, 4941, 4895, 4953, 4990, 4960")</f>
        <v>4880, 4862, 4894, 4920, 4930, 4970, 4952, 4892, 4941, 4895, 4953, 4990, 4960</v>
      </c>
      <c r="Y22" s="14" t="str">
        <f ca="1">IFERROR(__xludf.DUMMYFUNCTION("""COMPUTED_VALUE"""),"ja")</f>
        <v>ja</v>
      </c>
      <c r="Z22" s="14"/>
      <c r="AA22" s="16"/>
      <c r="AB22" s="14" t="str">
        <f ca="1">IFERROR(__xludf.DUMMYFUNCTION("""COMPUTED_VALUE"""),"x")</f>
        <v>x</v>
      </c>
      <c r="AC22" s="14" t="str">
        <f ca="1">IFERROR(__xludf.DUMMYFUNCTION("""COMPUTED_VALUE"""),"x")</f>
        <v>x</v>
      </c>
    </row>
    <row r="23" spans="1:29" ht="12.5" x14ac:dyDescent="0.25">
      <c r="A23" s="14" t="str">
        <f ca="1">IFERROR(__xludf.DUMMYFUNCTION("""COMPUTED_VALUE"""),"Camilla")</f>
        <v>Camilla</v>
      </c>
      <c r="B23" s="14" t="str">
        <f ca="1">IFERROR(__xludf.DUMMYFUNCTION("""COMPUTED_VALUE"""),"EDC Westermann, Tølløse")</f>
        <v>EDC Westermann, Tølløse</v>
      </c>
      <c r="C23" s="14">
        <f ca="1">IFERROR(__xludf.DUMMYFUNCTION("""COMPUTED_VALUE"""),26020379)</f>
        <v>26020379</v>
      </c>
      <c r="D23" s="14" t="str">
        <f ca="1">IFERROR(__xludf.DUMMYFUNCTION("""COMPUTED_VALUE"""),"MG-SJ: 3.499,-")</f>
        <v>MG-SJ: 3.499,-</v>
      </c>
      <c r="E23" s="14">
        <f ca="1">IFERROR(__xludf.DUMMYFUNCTION("""COMPUTED_VALUE"""),1202)</f>
        <v>1202</v>
      </c>
      <c r="F23" s="14" t="str">
        <f ca="1">IFERROR(__xludf.DUMMYFUNCTION("""COMPUTED_VALUE"""),"Thomas Westermann")</f>
        <v>Thomas Westermann</v>
      </c>
      <c r="G23" s="14" t="str">
        <f ca="1">IFERROR(__xludf.DUMMYFUNCTION("""COMPUTED_VALUE"""),"tw@edc.dk")</f>
        <v>tw@edc.dk</v>
      </c>
      <c r="H23" s="14" t="str">
        <f ca="1">IFERROR(__xludf.DUMMYFUNCTION("""COMPUTED_VALUE"""),"24 24 80 15")</f>
        <v>24 24 80 15</v>
      </c>
      <c r="I23" s="14" t="str">
        <f ca="1">IFERROR(__xludf.DUMMYFUNCTION("""COMPUTED_VALUE"""),"Tølløsevej 23")</f>
        <v>Tølløsevej 23</v>
      </c>
      <c r="J23" s="14">
        <f ca="1">IFERROR(__xludf.DUMMYFUNCTION("""COMPUTED_VALUE"""),4340)</f>
        <v>4340</v>
      </c>
      <c r="K23" s="14" t="str">
        <f ca="1">IFERROR(__xludf.DUMMYFUNCTION("""COMPUTED_VALUE"""),"Tølløse")</f>
        <v>Tølløse</v>
      </c>
      <c r="L23" s="14" t="str">
        <f ca="1">IFERROR(__xludf.DUMMYFUNCTION("""COMPUTED_VALUE"""),"Holbæk")</f>
        <v>Holbæk</v>
      </c>
      <c r="M23" s="14" t="str">
        <f ca="1">IFERROR(__xludf.DUMMYFUNCTION("""COMPUTED_VALUE"""),"Vest- og Sydsjælland")</f>
        <v>Vest- og Sydsjælland</v>
      </c>
      <c r="N23" s="14" t="str">
        <f ca="1">IFERROR(__xludf.DUMMYFUNCTION("""COMPUTED_VALUE"""),"Sjælland")</f>
        <v>Sjælland</v>
      </c>
      <c r="O23" s="14" t="str">
        <f ca="1">IFERROR(__xludf.DUMMYFUNCTION("""COMPUTED_VALUE"""),"59 18 55 02")</f>
        <v>59 18 55 02</v>
      </c>
      <c r="P23" s="14" t="str">
        <f ca="1">IFERROR(__xludf.DUMMYFUNCTION("""COMPUTED_VALUE"""),"434@edc.dk")</f>
        <v>434@edc.dk</v>
      </c>
      <c r="Q23" s="15" t="str">
        <f ca="1">IFERROR(__xludf.DUMMYFUNCTION("""COMPUTED_VALUE"""),"https://www.boliga.dk/maegler/562")</f>
        <v>https://www.boliga.dk/maegler/562</v>
      </c>
      <c r="R23" s="14" t="str">
        <f ca="1">IFERROR(__xludf.DUMMYFUNCTION("""COMPUTED_VALUE"""),"-")</f>
        <v>-</v>
      </c>
      <c r="S23" s="14" t="str">
        <f ca="1">IFERROR(__xludf.DUMMYFUNCTION("""COMPUTED_VALUE"""),"-")</f>
        <v>-</v>
      </c>
      <c r="T23" s="14" t="str">
        <f ca="1">IFERROR(__xludf.DUMMYFUNCTION("""COMPUTED_VALUE"""),"-")</f>
        <v>-</v>
      </c>
      <c r="U23" s="14">
        <f ca="1">IFERROR(__xludf.DUMMYFUNCTION("""COMPUTED_VALUE"""),26)</f>
        <v>26</v>
      </c>
      <c r="V23" s="14" t="str">
        <f ca="1">IFERROR(__xludf.DUMMYFUNCTION("""COMPUTED_VALUE"""),"4296, 4242, 4295, 4540, 4350, 4420, 4340, 4060, 4360, 4591, 4470, 4370, 4400, 4460, 4550, 4592, 4450, 4593")</f>
        <v>4296, 4242, 4295, 4540, 4350, 4420, 4340, 4060, 4360, 4591, 4470, 4370, 4400, 4460, 4550, 4592, 4450, 4593</v>
      </c>
      <c r="W23" s="14">
        <f ca="1">IFERROR(__xludf.DUMMYFUNCTION("""COMPUTED_VALUE"""),12)</f>
        <v>12</v>
      </c>
      <c r="X23" s="14" t="str">
        <f ca="1">IFERROR(__xludf.DUMMYFUNCTION("""COMPUTED_VALUE"""),"4296, 4270, 4295, 4420, 4360, 4592, 4340, 4540, 4400, 4591, 4470, 4593")</f>
        <v>4296, 4270, 4295, 4420, 4360, 4592, 4340, 4540, 4400, 4591, 4470, 4593</v>
      </c>
      <c r="Y23" s="14" t="str">
        <f ca="1">IFERROR(__xludf.DUMMYFUNCTION("""COMPUTED_VALUE"""),"ja")</f>
        <v>ja</v>
      </c>
      <c r="Z23" s="14" t="str">
        <f ca="1">IFERROR(__xludf.DUMMYFUNCTION("""COMPUTED_VALUE"""),"Vil ikke give på skrift, men har ringet d. 25/6 kl. 09:14, 24248015")</f>
        <v>Vil ikke give på skrift, men har ringet d. 25/6 kl. 09:14, 24248015</v>
      </c>
      <c r="AA23" s="16"/>
      <c r="AB23" s="14" t="str">
        <f ca="1">IFERROR(__xludf.DUMMYFUNCTION("""COMPUTED_VALUE"""),"x")</f>
        <v>x</v>
      </c>
      <c r="AC23" s="14" t="str">
        <f ca="1">IFERROR(__xludf.DUMMYFUNCTION("""COMPUTED_VALUE"""),"x")</f>
        <v>x</v>
      </c>
    </row>
    <row r="24" spans="1:29" ht="12.5" x14ac:dyDescent="0.25">
      <c r="A24" s="14" t="str">
        <f ca="1">IFERROR(__xludf.DUMMYFUNCTION("""COMPUTED_VALUE"""),"Camilla")</f>
        <v>Camilla</v>
      </c>
      <c r="B24" s="14" t="str">
        <f ca="1">IFERROR(__xludf.DUMMYFUNCTION("""COMPUTED_VALUE"""),"EDC Westermann, Svebølle")</f>
        <v>EDC Westermann, Svebølle</v>
      </c>
      <c r="C24" s="14">
        <f ca="1">IFERROR(__xludf.DUMMYFUNCTION("""COMPUTED_VALUE"""),26020379)</f>
        <v>26020379</v>
      </c>
      <c r="D24" s="14" t="str">
        <f ca="1">IFERROR(__xludf.DUMMYFUNCTION("""COMPUTED_VALUE"""),"MG-SJ: 3.499,-")</f>
        <v>MG-SJ: 3.499,-</v>
      </c>
      <c r="E24" s="14">
        <f ca="1">IFERROR(__xludf.DUMMYFUNCTION("""COMPUTED_VALUE"""),1202)</f>
        <v>1202</v>
      </c>
      <c r="F24" s="14" t="str">
        <f ca="1">IFERROR(__xludf.DUMMYFUNCTION("""COMPUTED_VALUE"""),"Thomas Westermann")</f>
        <v>Thomas Westermann</v>
      </c>
      <c r="G24" s="14" t="str">
        <f ca="1">IFERROR(__xludf.DUMMYFUNCTION("""COMPUTED_VALUE"""),"tw@edc.dk")</f>
        <v>tw@edc.dk</v>
      </c>
      <c r="H24" s="14" t="str">
        <f ca="1">IFERROR(__xludf.DUMMYFUNCTION("""COMPUTED_VALUE"""),"24 24 80 15")</f>
        <v>24 24 80 15</v>
      </c>
      <c r="I24" s="14" t="str">
        <f ca="1">IFERROR(__xludf.DUMMYFUNCTION("""COMPUTED_VALUE"""),"Svebølle Centret 1")</f>
        <v>Svebølle Centret 1</v>
      </c>
      <c r="J24" s="14">
        <f ca="1">IFERROR(__xludf.DUMMYFUNCTION("""COMPUTED_VALUE"""),4470)</f>
        <v>4470</v>
      </c>
      <c r="K24" s="14" t="str">
        <f ca="1">IFERROR(__xludf.DUMMYFUNCTION("""COMPUTED_VALUE"""),"Svebølle")</f>
        <v>Svebølle</v>
      </c>
      <c r="L24" s="14" t="str">
        <f ca="1">IFERROR(__xludf.DUMMYFUNCTION("""COMPUTED_VALUE"""),"Kalundborg")</f>
        <v>Kalundborg</v>
      </c>
      <c r="M24" s="14" t="str">
        <f ca="1">IFERROR(__xludf.DUMMYFUNCTION("""COMPUTED_VALUE"""),"Vest- og Sydsjælland")</f>
        <v>Vest- og Sydsjælland</v>
      </c>
      <c r="N24" s="14" t="str">
        <f ca="1">IFERROR(__xludf.DUMMYFUNCTION("""COMPUTED_VALUE"""),"Sjælland")</f>
        <v>Sjælland</v>
      </c>
      <c r="O24" s="14" t="str">
        <f ca="1">IFERROR(__xludf.DUMMYFUNCTION("""COMPUTED_VALUE"""),"59 29 66 66")</f>
        <v>59 29 66 66</v>
      </c>
      <c r="P24" s="14" t="str">
        <f ca="1">IFERROR(__xludf.DUMMYFUNCTION("""COMPUTED_VALUE"""),"447@edc.dk")</f>
        <v>447@edc.dk</v>
      </c>
      <c r="Q24" s="15" t="str">
        <f ca="1">IFERROR(__xludf.DUMMYFUNCTION("""COMPUTED_VALUE"""),"https://www.boliga.dk/maegler/971")</f>
        <v>https://www.boliga.dk/maegler/971</v>
      </c>
      <c r="R24" s="14" t="str">
        <f ca="1">IFERROR(__xludf.DUMMYFUNCTION("""COMPUTED_VALUE"""),"-")</f>
        <v>-</v>
      </c>
      <c r="S24" s="14" t="str">
        <f ca="1">IFERROR(__xludf.DUMMYFUNCTION("""COMPUTED_VALUE"""),"-")</f>
        <v>-</v>
      </c>
      <c r="T24" s="14" t="str">
        <f ca="1">IFERROR(__xludf.DUMMYFUNCTION("""COMPUTED_VALUE"""),"-")</f>
        <v>-</v>
      </c>
      <c r="U24" s="14">
        <f ca="1">IFERROR(__xludf.DUMMYFUNCTION("""COMPUTED_VALUE"""),44)</f>
        <v>44</v>
      </c>
      <c r="V24" s="14" t="str">
        <f ca="1">IFERROR(__xludf.DUMMYFUNCTION("""COMPUTED_VALUE"""),"4296, 4242, 4295, 4540, 4350, 4420, 4340, 4060, 4360, 4591, 4470, 4370, 4400, 4460, 4550, 4592, 4450, 4593")</f>
        <v>4296, 4242, 4295, 4540, 4350, 4420, 4340, 4060, 4360, 4591, 4470, 4370, 4400, 4460, 4550, 4592, 4450, 4593</v>
      </c>
      <c r="W24" s="14">
        <f ca="1">IFERROR(__xludf.DUMMYFUNCTION("""COMPUTED_VALUE"""),26)</f>
        <v>26</v>
      </c>
      <c r="X24" s="14" t="str">
        <f ca="1">IFERROR(__xludf.DUMMYFUNCTION("""COMPUTED_VALUE"""),"4296, 4270, 4295, 4420, 4360, 4592, 4340, 4540, 4400, 4591, 4470, 4593")</f>
        <v>4296, 4270, 4295, 4420, 4360, 4592, 4340, 4540, 4400, 4591, 4470, 4593</v>
      </c>
      <c r="Y24" s="14" t="str">
        <f ca="1">IFERROR(__xludf.DUMMYFUNCTION("""COMPUTED_VALUE"""),"ja")</f>
        <v>ja</v>
      </c>
      <c r="Z24" s="14" t="str">
        <f ca="1">IFERROR(__xludf.DUMMYFUNCTION("""COMPUTED_VALUE"""),"Det samme gælder billede tilladsele ^")</f>
        <v>Det samme gælder billede tilladsele ^</v>
      </c>
      <c r="AA24" s="16"/>
      <c r="AB24" s="14" t="str">
        <f ca="1">IFERROR(__xludf.DUMMYFUNCTION("""COMPUTED_VALUE"""),"x")</f>
        <v>x</v>
      </c>
      <c r="AC24" s="14" t="str">
        <f ca="1">IFERROR(__xludf.DUMMYFUNCTION("""COMPUTED_VALUE"""),"x")</f>
        <v>x</v>
      </c>
    </row>
    <row r="25" spans="1:29" ht="12.5" x14ac:dyDescent="0.25">
      <c r="A25" s="14" t="str">
        <f ca="1">IFERROR(__xludf.DUMMYFUNCTION("""COMPUTED_VALUE"""),"Camilla")</f>
        <v>Camilla</v>
      </c>
      <c r="B25" s="14" t="str">
        <f ca="1">IFERROR(__xludf.DUMMYFUNCTION("""COMPUTED_VALUE"""),"EDC Askær &amp; Nøhr, Svendborg")</f>
        <v>EDC Askær &amp; Nøhr, Svendborg</v>
      </c>
      <c r="C25" s="14">
        <f ca="1">IFERROR(__xludf.DUMMYFUNCTION("""COMPUTED_VALUE"""),37851140)</f>
        <v>37851140</v>
      </c>
      <c r="D25" s="14" t="str">
        <f ca="1">IFERROR(__xludf.DUMMYFUNCTION("""COMPUTED_VALUE"""),"MG-JY: 2.499,-")</f>
        <v>MG-JY: 2.499,-</v>
      </c>
      <c r="E25" s="14">
        <f ca="1">IFERROR(__xludf.DUMMYFUNCTION("""COMPUTED_VALUE"""),1201)</f>
        <v>1201</v>
      </c>
      <c r="F25" s="14" t="str">
        <f ca="1">IFERROR(__xludf.DUMMYFUNCTION("""COMPUTED_VALUE"""),"Martin Nøhr")</f>
        <v>Martin Nøhr</v>
      </c>
      <c r="G25" s="14" t="str">
        <f ca="1">IFERROR(__xludf.DUMMYFUNCTION("""COMPUTED_VALUE"""),"nohr@edc.dk")</f>
        <v>nohr@edc.dk</v>
      </c>
      <c r="H25" s="14" t="str">
        <f ca="1">IFERROR(__xludf.DUMMYFUNCTION("""COMPUTED_VALUE"""),"30 50 45 72")</f>
        <v>30 50 45 72</v>
      </c>
      <c r="I25" s="14" t="str">
        <f ca="1">IFERROR(__xludf.DUMMYFUNCTION("""COMPUTED_VALUE"""),"Vestergade 14A")</f>
        <v>Vestergade 14A</v>
      </c>
      <c r="J25" s="14">
        <f ca="1">IFERROR(__xludf.DUMMYFUNCTION("""COMPUTED_VALUE"""),5700)</f>
        <v>5700</v>
      </c>
      <c r="K25" s="14" t="str">
        <f ca="1">IFERROR(__xludf.DUMMYFUNCTION("""COMPUTED_VALUE"""),"Svendborg")</f>
        <v>Svendborg</v>
      </c>
      <c r="L25" s="14" t="str">
        <f ca="1">IFERROR(__xludf.DUMMYFUNCTION("""COMPUTED_VALUE"""),"Svendborg")</f>
        <v>Svendborg</v>
      </c>
      <c r="M25" s="14" t="str">
        <f ca="1">IFERROR(__xludf.DUMMYFUNCTION("""COMPUTED_VALUE"""),"Fyn")</f>
        <v>Fyn</v>
      </c>
      <c r="N25" s="14" t="str">
        <f ca="1">IFERROR(__xludf.DUMMYFUNCTION("""COMPUTED_VALUE"""),"Syddanmark")</f>
        <v>Syddanmark</v>
      </c>
      <c r="O25" s="14" t="str">
        <f ca="1">IFERROR(__xludf.DUMMYFUNCTION("""COMPUTED_VALUE"""),"63 22 22 22")</f>
        <v>63 22 22 22</v>
      </c>
      <c r="P25" s="14" t="str">
        <f ca="1">IFERROR(__xludf.DUMMYFUNCTION("""COMPUTED_VALUE"""),"572@edc.dk")</f>
        <v>572@edc.dk</v>
      </c>
      <c r="Q25" s="15" t="str">
        <f ca="1">IFERROR(__xludf.DUMMYFUNCTION("""COMPUTED_VALUE"""),"https://www.boliga.dk/maegler/665")</f>
        <v>https://www.boliga.dk/maegler/665</v>
      </c>
      <c r="R25" s="14" t="str">
        <f ca="1">IFERROR(__xludf.DUMMYFUNCTION("""COMPUTED_VALUE"""),"-")</f>
        <v>-</v>
      </c>
      <c r="S25" s="14" t="str">
        <f ca="1">IFERROR(__xludf.DUMMYFUNCTION("""COMPUTED_VALUE"""),"-")</f>
        <v>-</v>
      </c>
      <c r="T25" s="14" t="str">
        <f ca="1">IFERROR(__xludf.DUMMYFUNCTION("""COMPUTED_VALUE"""),"-")</f>
        <v>-</v>
      </c>
      <c r="U25" s="14">
        <f ca="1">IFERROR(__xludf.DUMMYFUNCTION("""COMPUTED_VALUE"""),10)</f>
        <v>10</v>
      </c>
      <c r="V25" s="14" t="str">
        <f ca="1">IFERROR(__xludf.DUMMYFUNCTION("""COMPUTED_VALUE"""),"5985, 5960, 5970")</f>
        <v>5985, 5960, 5970</v>
      </c>
      <c r="W25" s="14">
        <f ca="1">IFERROR(__xludf.DUMMYFUNCTION("""COMPUTED_VALUE"""),32)</f>
        <v>32</v>
      </c>
      <c r="X25" s="14" t="str">
        <f ca="1">IFERROR(__xludf.DUMMYFUNCTION("""COMPUTED_VALUE"""),"5883, 5230, 5882, 5700, 5985, 5600, 5762, 5260, 5960, 5771, 5970")</f>
        <v>5883, 5230, 5882, 5700, 5985, 5600, 5762, 5260, 5960, 5771, 5970</v>
      </c>
      <c r="Y25" s="14" t="str">
        <f ca="1">IFERROR(__xludf.DUMMYFUNCTION("""COMPUTED_VALUE"""),"ja")</f>
        <v>ja</v>
      </c>
      <c r="Z25" s="14"/>
      <c r="AA25" s="14"/>
      <c r="AB25" s="14" t="str">
        <f ca="1">IFERROR(__xludf.DUMMYFUNCTION("""COMPUTED_VALUE"""),"x")</f>
        <v>x</v>
      </c>
      <c r="AC25" s="14" t="str">
        <f ca="1">IFERROR(__xludf.DUMMYFUNCTION("""COMPUTED_VALUE"""),"x")</f>
        <v>x</v>
      </c>
    </row>
    <row r="26" spans="1:29" ht="12.5" x14ac:dyDescent="0.25">
      <c r="A26" s="14" t="str">
        <f ca="1">IFERROR(__xludf.DUMMYFUNCTION("""COMPUTED_VALUE"""),"Camilla")</f>
        <v>Camilla</v>
      </c>
      <c r="B26" s="14" t="str">
        <f ca="1">IFERROR(__xludf.DUMMYFUNCTION("""COMPUTED_VALUE"""),"EDC Højris Aps")</f>
        <v>EDC Højris Aps</v>
      </c>
      <c r="C26" s="14" t="str">
        <f ca="1">IFERROR(__xludf.DUMMYFUNCTION("""COMPUTED_VALUE"""),"op 15/8")</f>
        <v>op 15/8</v>
      </c>
      <c r="D26" s="14"/>
      <c r="E26" s="14" t="str">
        <f ca="1">IFERROR(__xludf.DUMMYFUNCTION("""COMPUTED_VALUE"""),"N/A")</f>
        <v>N/A</v>
      </c>
      <c r="F26" s="14" t="str">
        <f ca="1">IFERROR(__xludf.DUMMYFUNCTION("""COMPUTED_VALUE"""),"Mikael Højris")</f>
        <v>Mikael Højris</v>
      </c>
      <c r="G26" s="14" t="str">
        <f ca="1">IFERROR(__xludf.DUMMYFUNCTION("""COMPUTED_VALUE"""),"mh.549@edc.dk")</f>
        <v>mh.549@edc.dk</v>
      </c>
      <c r="H26" s="14" t="str">
        <f ca="1">IFERROR(__xludf.DUMMYFUNCTION("""COMPUTED_VALUE"""),"23 29 80 05")</f>
        <v>23 29 80 05</v>
      </c>
      <c r="I26" s="14" t="str">
        <f ca="1">IFERROR(__xludf.DUMMYFUNCTION("""COMPUTED_VALUE"""),"Vestergade 12")</f>
        <v>Vestergade 12</v>
      </c>
      <c r="J26" s="14">
        <f ca="1">IFERROR(__xludf.DUMMYFUNCTION("""COMPUTED_VALUE"""),5492)</f>
        <v>5492</v>
      </c>
      <c r="K26" s="14" t="str">
        <f ca="1">IFERROR(__xludf.DUMMYFUNCTION("""COMPUTED_VALUE"""),"Vissenbjerg")</f>
        <v>Vissenbjerg</v>
      </c>
      <c r="L26" s="14" t="str">
        <f ca="1">IFERROR(__xludf.DUMMYFUNCTION("""COMPUTED_VALUE"""),"Assens")</f>
        <v>Assens</v>
      </c>
      <c r="M26" s="14" t="str">
        <f ca="1">IFERROR(__xludf.DUMMYFUNCTION("""COMPUTED_VALUE"""),"Fyn")</f>
        <v>Fyn</v>
      </c>
      <c r="N26" s="14" t="str">
        <f ca="1">IFERROR(__xludf.DUMMYFUNCTION("""COMPUTED_VALUE"""),"Syddanmark")</f>
        <v>Syddanmark</v>
      </c>
      <c r="O26" s="14" t="str">
        <f ca="1">IFERROR(__xludf.DUMMYFUNCTION("""COMPUTED_VALUE"""),"64 47 32 52")</f>
        <v>64 47 32 52</v>
      </c>
      <c r="P26" s="14" t="str">
        <f ca="1">IFERROR(__xludf.DUMMYFUNCTION("""COMPUTED_VALUE"""),"549@edc.dk")</f>
        <v>549@edc.dk</v>
      </c>
      <c r="Q26" s="15" t="str">
        <f ca="1">IFERROR(__xludf.DUMMYFUNCTION("""COMPUTED_VALUE"""),"https://www.boliga.dk/maegler/269")</f>
        <v>https://www.boliga.dk/maegler/269</v>
      </c>
      <c r="R26" s="14" t="str">
        <f ca="1">IFERROR(__xludf.DUMMYFUNCTION("""COMPUTED_VALUE"""),"-")</f>
        <v>-</v>
      </c>
      <c r="S26" s="14" t="str">
        <f ca="1">IFERROR(__xludf.DUMMYFUNCTION("""COMPUTED_VALUE"""),"-")</f>
        <v>-</v>
      </c>
      <c r="T26" s="14" t="str">
        <f ca="1">IFERROR(__xludf.DUMMYFUNCTION("""COMPUTED_VALUE"""),"-")</f>
        <v>-</v>
      </c>
      <c r="U26" s="14">
        <f ca="1">IFERROR(__xludf.DUMMYFUNCTION("""COMPUTED_VALUE"""),2)</f>
        <v>2</v>
      </c>
      <c r="V26" s="14" t="str">
        <f ca="1">IFERROR(__xludf.DUMMYFUNCTION("""COMPUTED_VALUE"""),"5560, 5464, 5466, 5463, 5580, 5591, 5592")</f>
        <v>5560, 5464, 5466, 5463, 5580, 5591, 5592</v>
      </c>
      <c r="W26" s="14">
        <f ca="1">IFERROR(__xludf.DUMMYFUNCTION("""COMPUTED_VALUE"""),22)</f>
        <v>22</v>
      </c>
      <c r="X26" s="14" t="str">
        <f ca="1">IFERROR(__xludf.DUMMYFUNCTION("""COMPUTED_VALUE"""),"5492, 5400, 5466, 5485, 5560, 5690, 5580, 5592, 5464, 5591")</f>
        <v>5492, 5400, 5466, 5485, 5560, 5690, 5580, 5592, 5464, 5591</v>
      </c>
      <c r="Y26" s="14" t="str">
        <f ca="1">IFERROR(__xludf.DUMMYFUNCTION("""COMPUTED_VALUE"""),"ja")</f>
        <v>ja</v>
      </c>
      <c r="Z26" s="14"/>
      <c r="AA26" s="16"/>
      <c r="AB26" s="14" t="str">
        <f ca="1">IFERROR(__xludf.DUMMYFUNCTION("""COMPUTED_VALUE"""),"x")</f>
        <v>x</v>
      </c>
      <c r="AC26" s="14"/>
    </row>
    <row r="27" spans="1:29" ht="12.5" x14ac:dyDescent="0.25">
      <c r="A27" s="14" t="str">
        <f ca="1">IFERROR(__xludf.DUMMYFUNCTION("""COMPUTED_VALUE"""),"Camilla")</f>
        <v>Camilla</v>
      </c>
      <c r="B27" s="14" t="str">
        <f ca="1">IFERROR(__xludf.DUMMYFUNCTION("""COMPUTED_VALUE"""),"EDC Højris Aps")</f>
        <v>EDC Højris Aps</v>
      </c>
      <c r="C27" s="14" t="str">
        <f ca="1">IFERROR(__xludf.DUMMYFUNCTION("""COMPUTED_VALUE"""),"op 15/8")</f>
        <v>op 15/8</v>
      </c>
      <c r="D27" s="14"/>
      <c r="E27" s="14" t="str">
        <f ca="1">IFERROR(__xludf.DUMMYFUNCTION("""COMPUTED_VALUE"""),"N/A")</f>
        <v>N/A</v>
      </c>
      <c r="F27" s="14" t="str">
        <f ca="1">IFERROR(__xludf.DUMMYFUNCTION("""COMPUTED_VALUE"""),"Mikael Højris")</f>
        <v>Mikael Højris</v>
      </c>
      <c r="G27" s="14" t="str">
        <f ca="1">IFERROR(__xludf.DUMMYFUNCTION("""COMPUTED_VALUE"""),"mh.549@edc.dk")</f>
        <v>mh.549@edc.dk</v>
      </c>
      <c r="H27" s="14" t="str">
        <f ca="1">IFERROR(__xludf.DUMMYFUNCTION("""COMPUTED_VALUE"""),"23 29 80 05")</f>
        <v>23 29 80 05</v>
      </c>
      <c r="I27" s="14" t="str">
        <f ca="1">IFERROR(__xludf.DUMMYFUNCTION("""COMPUTED_VALUE"""),"Østergade 11")</f>
        <v>Østergade 11</v>
      </c>
      <c r="J27" s="14">
        <f ca="1">IFERROR(__xludf.DUMMYFUNCTION("""COMPUTED_VALUE"""),5580)</f>
        <v>5580</v>
      </c>
      <c r="K27" s="14" t="str">
        <f ca="1">IFERROR(__xludf.DUMMYFUNCTION("""COMPUTED_VALUE"""),"Nørre Aaby")</f>
        <v>Nørre Aaby</v>
      </c>
      <c r="L27" s="14" t="str">
        <f ca="1">IFERROR(__xludf.DUMMYFUNCTION("""COMPUTED_VALUE"""),"Middelfart")</f>
        <v>Middelfart</v>
      </c>
      <c r="M27" s="14" t="str">
        <f ca="1">IFERROR(__xludf.DUMMYFUNCTION("""COMPUTED_VALUE"""),"Fyn")</f>
        <v>Fyn</v>
      </c>
      <c r="N27" s="14" t="str">
        <f ca="1">IFERROR(__xludf.DUMMYFUNCTION("""COMPUTED_VALUE"""),"Syddanmark")</f>
        <v>Syddanmark</v>
      </c>
      <c r="O27" s="14" t="str">
        <f ca="1">IFERROR(__xludf.DUMMYFUNCTION("""COMPUTED_VALUE"""),"64 42 14 40")</f>
        <v>64 42 14 40</v>
      </c>
      <c r="P27" s="14" t="str">
        <f ca="1">IFERROR(__xludf.DUMMYFUNCTION("""COMPUTED_VALUE"""),"558@edc.dk")</f>
        <v>558@edc.dk</v>
      </c>
      <c r="Q27" s="15" t="str">
        <f ca="1">IFERROR(__xludf.DUMMYFUNCTION("""COMPUTED_VALUE"""),"https://www.boliga.dk/maegler/311")</f>
        <v>https://www.boliga.dk/maegler/311</v>
      </c>
      <c r="R27" s="14" t="str">
        <f ca="1">IFERROR(__xludf.DUMMYFUNCTION("""COMPUTED_VALUE"""),"-")</f>
        <v>-</v>
      </c>
      <c r="S27" s="14" t="str">
        <f ca="1">IFERROR(__xludf.DUMMYFUNCTION("""COMPUTED_VALUE"""),"-")</f>
        <v>-</v>
      </c>
      <c r="T27" s="14" t="str">
        <f ca="1">IFERROR(__xludf.DUMMYFUNCTION("""COMPUTED_VALUE"""),"-")</f>
        <v>-</v>
      </c>
      <c r="U27" s="14">
        <f ca="1">IFERROR(__xludf.DUMMYFUNCTION("""COMPUTED_VALUE"""),26)</f>
        <v>26</v>
      </c>
      <c r="V27" s="14" t="str">
        <f ca="1">IFERROR(__xludf.DUMMYFUNCTION("""COMPUTED_VALUE"""),"5560, 5464, 5466, 5463, 5580, 5591, 5592")</f>
        <v>5560, 5464, 5466, 5463, 5580, 5591, 5592</v>
      </c>
      <c r="W27" s="14">
        <f ca="1">IFERROR(__xludf.DUMMYFUNCTION("""COMPUTED_VALUE"""),19)</f>
        <v>19</v>
      </c>
      <c r="X27" s="14" t="str">
        <f ca="1">IFERROR(__xludf.DUMMYFUNCTION("""COMPUTED_VALUE"""),"5492, 5400, 5466, 5485, 5560, 5690, 5580, 5592, 5464, 5591")</f>
        <v>5492, 5400, 5466, 5485, 5560, 5690, 5580, 5592, 5464, 5591</v>
      </c>
      <c r="Y27" s="14" t="str">
        <f ca="1">IFERROR(__xludf.DUMMYFUNCTION("""COMPUTED_VALUE"""),"ja")</f>
        <v>ja</v>
      </c>
      <c r="Z27" s="14"/>
      <c r="AA27" s="16"/>
      <c r="AB27" s="14" t="str">
        <f ca="1">IFERROR(__xludf.DUMMYFUNCTION("""COMPUTED_VALUE"""),"x")</f>
        <v>x</v>
      </c>
      <c r="AC27" s="14"/>
    </row>
    <row r="28" spans="1:29" ht="12.5" x14ac:dyDescent="0.25">
      <c r="A28" s="14" t="str">
        <f ca="1">IFERROR(__xludf.DUMMYFUNCTION("""COMPUTED_VALUE"""),"Camilla")</f>
        <v>Camilla</v>
      </c>
      <c r="B28" s="14" t="str">
        <f ca="1">IFERROR(__xludf.DUMMYFUNCTION("""COMPUTED_VALUE"""),"EDC Skibhus")</f>
        <v>EDC Skibhus</v>
      </c>
      <c r="C28" s="14">
        <f ca="1">IFERROR(__xludf.DUMMYFUNCTION("""COMPUTED_VALUE"""),30178858)</f>
        <v>30178858</v>
      </c>
      <c r="D28" s="14" t="str">
        <f ca="1">IFERROR(__xludf.DUMMYFUNCTION("""COMPUTED_VALUE"""),"MG-JY: 2.499,-")</f>
        <v>MG-JY: 2.499,-</v>
      </c>
      <c r="E28" s="14">
        <f ca="1">IFERROR(__xludf.DUMMYFUNCTION("""COMPUTED_VALUE"""),1201)</f>
        <v>1201</v>
      </c>
      <c r="F28" s="14" t="str">
        <f ca="1">IFERROR(__xludf.DUMMYFUNCTION("""COMPUTED_VALUE"""),"Mads Gantriis")</f>
        <v>Mads Gantriis</v>
      </c>
      <c r="G28" s="14" t="str">
        <f ca="1">IFERROR(__xludf.DUMMYFUNCTION("""COMPUTED_VALUE"""),"mg@edc.dk")</f>
        <v>mg@edc.dk</v>
      </c>
      <c r="H28" s="14" t="str">
        <f ca="1">IFERROR(__xludf.DUMMYFUNCTION("""COMPUTED_VALUE"""),"31 73 13 10")</f>
        <v>31 73 13 10</v>
      </c>
      <c r="I28" s="14" t="str">
        <f ca="1">IFERROR(__xludf.DUMMYFUNCTION("""COMPUTED_VALUE"""),"Skibhusvej 61a")</f>
        <v>Skibhusvej 61a</v>
      </c>
      <c r="J28" s="14">
        <f ca="1">IFERROR(__xludf.DUMMYFUNCTION("""COMPUTED_VALUE"""),5000)</f>
        <v>5000</v>
      </c>
      <c r="K28" s="14" t="str">
        <f ca="1">IFERROR(__xludf.DUMMYFUNCTION("""COMPUTED_VALUE"""),"Odense C")</f>
        <v>Odense C</v>
      </c>
      <c r="L28" s="14" t="str">
        <f ca="1">IFERROR(__xludf.DUMMYFUNCTION("""COMPUTED_VALUE"""),"Odense")</f>
        <v>Odense</v>
      </c>
      <c r="M28" s="14" t="str">
        <f ca="1">IFERROR(__xludf.DUMMYFUNCTION("""COMPUTED_VALUE"""),"Fyn")</f>
        <v>Fyn</v>
      </c>
      <c r="N28" s="14" t="str">
        <f ca="1">IFERROR(__xludf.DUMMYFUNCTION("""COMPUTED_VALUE"""),"Syddanmark")</f>
        <v>Syddanmark</v>
      </c>
      <c r="O28" s="14" t="str">
        <f ca="1">IFERROR(__xludf.DUMMYFUNCTION("""COMPUTED_VALUE"""),"66 11 64 11")</f>
        <v>66 11 64 11</v>
      </c>
      <c r="P28" s="14" t="str">
        <f ca="1">IFERROR(__xludf.DUMMYFUNCTION("""COMPUTED_VALUE"""),"503@edc.dk")</f>
        <v>503@edc.dk</v>
      </c>
      <c r="Q28" s="15" t="str">
        <f ca="1">IFERROR(__xludf.DUMMYFUNCTION("""COMPUTED_VALUE"""),"https://www.boliga.dk/maegler/447")</f>
        <v>https://www.boliga.dk/maegler/447</v>
      </c>
      <c r="R28" s="14" t="str">
        <f ca="1">IFERROR(__xludf.DUMMYFUNCTION("""COMPUTED_VALUE"""),"-")</f>
        <v>-</v>
      </c>
      <c r="S28" s="14" t="str">
        <f ca="1">IFERROR(__xludf.DUMMYFUNCTION("""COMPUTED_VALUE"""),"-")</f>
        <v>-</v>
      </c>
      <c r="T28" s="14" t="str">
        <f ca="1">IFERROR(__xludf.DUMMYFUNCTION("""COMPUTED_VALUE"""),"-")</f>
        <v>-</v>
      </c>
      <c r="U28" s="14" t="str">
        <f ca="1">IFERROR(__xludf.DUMMYFUNCTION("""COMPUTED_VALUE"""),"-")</f>
        <v>-</v>
      </c>
      <c r="V28" s="14" t="str">
        <f ca="1">IFERROR(__xludf.DUMMYFUNCTION("""COMPUTED_VALUE"""),"-")</f>
        <v>-</v>
      </c>
      <c r="W28" s="14">
        <f ca="1">IFERROR(__xludf.DUMMYFUNCTION("""COMPUTED_VALUE"""),10)</f>
        <v>10</v>
      </c>
      <c r="X28" s="14" t="str">
        <f ca="1">IFERROR(__xludf.DUMMYFUNCTION("""COMPUTED_VALUE"""),"5240, 5000, 5320")</f>
        <v>5240, 5000, 5320</v>
      </c>
      <c r="Y28" s="14" t="str">
        <f ca="1">IFERROR(__xludf.DUMMYFUNCTION("""COMPUTED_VALUE"""),"ja")</f>
        <v>ja</v>
      </c>
      <c r="Z28" s="14"/>
      <c r="AA28" s="16"/>
      <c r="AB28" s="14" t="str">
        <f ca="1">IFERROR(__xludf.DUMMYFUNCTION("""COMPUTED_VALUE"""),"x")</f>
        <v>x</v>
      </c>
      <c r="AC28" s="14" t="str">
        <f ca="1">IFERROR(__xludf.DUMMYFUNCTION("""COMPUTED_VALUE"""),"x")</f>
        <v>x</v>
      </c>
    </row>
    <row r="29" spans="1:29" ht="12.5" x14ac:dyDescent="0.25">
      <c r="A29" s="14" t="str">
        <f ca="1">IFERROR(__xludf.DUMMYFUNCTION("""COMPUTED_VALUE"""),"Camilla")</f>
        <v>Camilla</v>
      </c>
      <c r="B29" s="14" t="str">
        <f ca="1">IFERROR(__xludf.DUMMYFUNCTION("""COMPUTED_VALUE"""),"EDC Tarup")</f>
        <v>EDC Tarup</v>
      </c>
      <c r="C29" s="14">
        <f ca="1">IFERROR(__xludf.DUMMYFUNCTION("""COMPUTED_VALUE"""),33386230)</f>
        <v>33386230</v>
      </c>
      <c r="D29" s="14" t="str">
        <f ca="1">IFERROR(__xludf.DUMMYFUNCTION("""COMPUTED_VALUE"""),"MG-JY: 2.499,-")</f>
        <v>MG-JY: 2.499,-</v>
      </c>
      <c r="E29" s="14">
        <f ca="1">IFERROR(__xludf.DUMMYFUNCTION("""COMPUTED_VALUE"""),1201)</f>
        <v>1201</v>
      </c>
      <c r="F29" s="14" t="str">
        <f ca="1">IFERROR(__xludf.DUMMYFUNCTION("""COMPUTED_VALUE"""),"Mads Gantriis")</f>
        <v>Mads Gantriis</v>
      </c>
      <c r="G29" s="14" t="str">
        <f ca="1">IFERROR(__xludf.DUMMYFUNCTION("""COMPUTED_VALUE"""),"mg@edc.dk")</f>
        <v>mg@edc.dk</v>
      </c>
      <c r="H29" s="14" t="str">
        <f ca="1">IFERROR(__xludf.DUMMYFUNCTION("""COMPUTED_VALUE"""),"31 73 13 10")</f>
        <v>31 73 13 10</v>
      </c>
      <c r="I29" s="14" t="str">
        <f ca="1">IFERROR(__xludf.DUMMYFUNCTION("""COMPUTED_VALUE"""),"Rugårdsvej 167")</f>
        <v>Rugårdsvej 167</v>
      </c>
      <c r="J29" s="14">
        <f ca="1">IFERROR(__xludf.DUMMYFUNCTION("""COMPUTED_VALUE"""),5210)</f>
        <v>5210</v>
      </c>
      <c r="K29" s="14" t="str">
        <f ca="1">IFERROR(__xludf.DUMMYFUNCTION("""COMPUTED_VALUE"""),"Odense NV")</f>
        <v>Odense NV</v>
      </c>
      <c r="L29" s="14" t="str">
        <f ca="1">IFERROR(__xludf.DUMMYFUNCTION("""COMPUTED_VALUE"""),"Odense")</f>
        <v>Odense</v>
      </c>
      <c r="M29" s="14" t="str">
        <f ca="1">IFERROR(__xludf.DUMMYFUNCTION("""COMPUTED_VALUE"""),"Fyn")</f>
        <v>Fyn</v>
      </c>
      <c r="N29" s="14" t="str">
        <f ca="1">IFERROR(__xludf.DUMMYFUNCTION("""COMPUTED_VALUE"""),"Syddanmark")</f>
        <v>Syddanmark</v>
      </c>
      <c r="O29" s="14" t="str">
        <f ca="1">IFERROR(__xludf.DUMMYFUNCTION("""COMPUTED_VALUE"""),"66 16 00 77")</f>
        <v>66 16 00 77</v>
      </c>
      <c r="P29" s="14" t="str">
        <f ca="1">IFERROR(__xludf.DUMMYFUNCTION("""COMPUTED_VALUE"""),"521@edc.dk")</f>
        <v>521@edc.dk</v>
      </c>
      <c r="Q29" s="15" t="str">
        <f ca="1">IFERROR(__xludf.DUMMYFUNCTION("""COMPUTED_VALUE"""),"https://www.boliga.dk/maegler/17600")</f>
        <v>https://www.boliga.dk/maegler/17600</v>
      </c>
      <c r="R29" s="14" t="str">
        <f ca="1">IFERROR(__xludf.DUMMYFUNCTION("""COMPUTED_VALUE"""),"-")</f>
        <v>-</v>
      </c>
      <c r="S29" s="14" t="str">
        <f ca="1">IFERROR(__xludf.DUMMYFUNCTION("""COMPUTED_VALUE"""),"-")</f>
        <v>-</v>
      </c>
      <c r="T29" s="14" t="str">
        <f ca="1">IFERROR(__xludf.DUMMYFUNCTION("""COMPUTED_VALUE"""),"-")</f>
        <v>-</v>
      </c>
      <c r="U29" s="14" t="str">
        <f ca="1">IFERROR(__xludf.DUMMYFUNCTION("""COMPUTED_VALUE"""),"-")</f>
        <v>-</v>
      </c>
      <c r="V29" s="14" t="str">
        <f ca="1">IFERROR(__xludf.DUMMYFUNCTION("""COMPUTED_VALUE"""),"-")</f>
        <v>-</v>
      </c>
      <c r="W29" s="14">
        <f ca="1">IFERROR(__xludf.DUMMYFUNCTION("""COMPUTED_VALUE"""),18)</f>
        <v>18</v>
      </c>
      <c r="X29" s="14" t="str">
        <f ca="1">IFERROR(__xludf.DUMMYFUNCTION("""COMPUTED_VALUE"""),"5200, 5210")</f>
        <v>5200, 5210</v>
      </c>
      <c r="Y29" s="14" t="str">
        <f ca="1">IFERROR(__xludf.DUMMYFUNCTION("""COMPUTED_VALUE"""),"ja")</f>
        <v>ja</v>
      </c>
      <c r="Z29" s="14"/>
      <c r="AA29" s="16"/>
      <c r="AB29" s="14" t="str">
        <f ca="1">IFERROR(__xludf.DUMMYFUNCTION("""COMPUTED_VALUE"""),"x")</f>
        <v>x</v>
      </c>
      <c r="AC29" s="14" t="str">
        <f ca="1">IFERROR(__xludf.DUMMYFUNCTION("""COMPUTED_VALUE"""),"x")</f>
        <v>x</v>
      </c>
    </row>
    <row r="30" spans="1:29" ht="12.5" x14ac:dyDescent="0.25">
      <c r="A30" s="14" t="str">
        <f ca="1">IFERROR(__xludf.DUMMYFUNCTION("""COMPUTED_VALUE"""),"Camilla")</f>
        <v>Camilla</v>
      </c>
      <c r="B30" s="14" t="str">
        <f ca="1">IFERROR(__xludf.DUMMYFUNCTION("""COMPUTED_VALUE"""),"EDC Åløkken")</f>
        <v>EDC Åløkken</v>
      </c>
      <c r="C30" s="14">
        <f ca="1">IFERROR(__xludf.DUMMYFUNCTION("""COMPUTED_VALUE"""),41988894)</f>
        <v>41988894</v>
      </c>
      <c r="D30" s="14" t="str">
        <f ca="1">IFERROR(__xludf.DUMMYFUNCTION("""COMPUTED_VALUE"""),"MG-JY: 2.499,-")</f>
        <v>MG-JY: 2.499,-</v>
      </c>
      <c r="E30" s="14">
        <f ca="1">IFERROR(__xludf.DUMMYFUNCTION("""COMPUTED_VALUE"""),1201)</f>
        <v>1201</v>
      </c>
      <c r="F30" s="14" t="str">
        <f ca="1">IFERROR(__xludf.DUMMYFUNCTION("""COMPUTED_VALUE"""),"Mads Gantriis")</f>
        <v>Mads Gantriis</v>
      </c>
      <c r="G30" s="14" t="str">
        <f ca="1">IFERROR(__xludf.DUMMYFUNCTION("""COMPUTED_VALUE"""),"mg@edc.dk")</f>
        <v>mg@edc.dk</v>
      </c>
      <c r="H30" s="14" t="str">
        <f ca="1">IFERROR(__xludf.DUMMYFUNCTION("""COMPUTED_VALUE"""),"31 73 13 10")</f>
        <v>31 73 13 10</v>
      </c>
      <c r="I30" s="14" t="str">
        <f ca="1">IFERROR(__xludf.DUMMYFUNCTION("""COMPUTED_VALUE"""),"Åløkke Alle 19")</f>
        <v>Åløkke Alle 19</v>
      </c>
      <c r="J30" s="14">
        <f ca="1">IFERROR(__xludf.DUMMYFUNCTION("""COMPUTED_VALUE"""),5000)</f>
        <v>5000</v>
      </c>
      <c r="K30" s="14" t="str">
        <f ca="1">IFERROR(__xludf.DUMMYFUNCTION("""COMPUTED_VALUE"""),"Odense C")</f>
        <v>Odense C</v>
      </c>
      <c r="L30" s="14" t="str">
        <f ca="1">IFERROR(__xludf.DUMMYFUNCTION("""COMPUTED_VALUE"""),"Odense")</f>
        <v>Odense</v>
      </c>
      <c r="M30" s="14" t="str">
        <f ca="1">IFERROR(__xludf.DUMMYFUNCTION("""COMPUTED_VALUE"""),"Fyn")</f>
        <v>Fyn</v>
      </c>
      <c r="N30" s="14" t="str">
        <f ca="1">IFERROR(__xludf.DUMMYFUNCTION("""COMPUTED_VALUE"""),"Syddanmark")</f>
        <v>Syddanmark</v>
      </c>
      <c r="O30" s="14" t="str">
        <f ca="1">IFERROR(__xludf.DUMMYFUNCTION("""COMPUTED_VALUE"""),"66 14 91 43")</f>
        <v>66 14 91 43</v>
      </c>
      <c r="P30" s="14" t="str">
        <f ca="1">IFERROR(__xludf.DUMMYFUNCTION("""COMPUTED_VALUE"""),"500@edc.dk")</f>
        <v>500@edc.dk</v>
      </c>
      <c r="Q30" s="15" t="str">
        <f ca="1">IFERROR(__xludf.DUMMYFUNCTION("""COMPUTED_VALUE"""),"https://www.boliga.dk/maegler/331")</f>
        <v>https://www.boliga.dk/maegler/331</v>
      </c>
      <c r="R30" s="14" t="str">
        <f ca="1">IFERROR(__xludf.DUMMYFUNCTION("""COMPUTED_VALUE"""),"-")</f>
        <v>-</v>
      </c>
      <c r="S30" s="14" t="str">
        <f ca="1">IFERROR(__xludf.DUMMYFUNCTION("""COMPUTED_VALUE"""),"-")</f>
        <v>-</v>
      </c>
      <c r="T30" s="14" t="str">
        <f ca="1">IFERROR(__xludf.DUMMYFUNCTION("""COMPUTED_VALUE"""),"-")</f>
        <v>-</v>
      </c>
      <c r="U30" s="14" t="str">
        <f ca="1">IFERROR(__xludf.DUMMYFUNCTION("""COMPUTED_VALUE"""),"-")</f>
        <v>-</v>
      </c>
      <c r="V30" s="14" t="str">
        <f ca="1">IFERROR(__xludf.DUMMYFUNCTION("""COMPUTED_VALUE"""),"-")</f>
        <v>-</v>
      </c>
      <c r="W30" s="14">
        <f ca="1">IFERROR(__xludf.DUMMYFUNCTION("""COMPUTED_VALUE"""),40)</f>
        <v>40</v>
      </c>
      <c r="X30" s="14" t="str">
        <f ca="1">IFERROR(__xludf.DUMMYFUNCTION("""COMPUTED_VALUE"""),"5000, 5450, 5200, 5220, 5672, 5210, 5250, 5270, 5491, 5240")</f>
        <v>5000, 5450, 5200, 5220, 5672, 5210, 5250, 5270, 5491, 5240</v>
      </c>
      <c r="Y30" s="14" t="str">
        <f ca="1">IFERROR(__xludf.DUMMYFUNCTION("""COMPUTED_VALUE"""),"ja")</f>
        <v>ja</v>
      </c>
      <c r="Z30" s="14"/>
      <c r="AA30" s="16"/>
      <c r="AB30" s="14" t="str">
        <f ca="1">IFERROR(__xludf.DUMMYFUNCTION("""COMPUTED_VALUE"""),"x")</f>
        <v>x</v>
      </c>
      <c r="AC30" s="14" t="str">
        <f ca="1">IFERROR(__xludf.DUMMYFUNCTION("""COMPUTED_VALUE"""),"x")</f>
        <v>x</v>
      </c>
    </row>
    <row r="31" spans="1:29" ht="12.5" x14ac:dyDescent="0.25">
      <c r="A31" s="14" t="str">
        <f ca="1">IFERROR(__xludf.DUMMYFUNCTION("""COMPUTED_VALUE"""),"Camilla")</f>
        <v>Camilla</v>
      </c>
      <c r="B31" s="14" t="str">
        <f ca="1">IFERROR(__xludf.DUMMYFUNCTION("""COMPUTED_VALUE"""),"EDC Filtenborg, Haderslev")</f>
        <v>EDC Filtenborg, Haderslev</v>
      </c>
      <c r="C31" s="14">
        <f ca="1">IFERROR(__xludf.DUMMYFUNCTION("""COMPUTED_VALUE"""),30716124)</f>
        <v>30716124</v>
      </c>
      <c r="D31" s="14" t="str">
        <f ca="1">IFERROR(__xludf.DUMMYFUNCTION("""COMPUTED_VALUE"""),"MG-JY: 2.499,-")</f>
        <v>MG-JY: 2.499,-</v>
      </c>
      <c r="E31" s="14">
        <f ca="1">IFERROR(__xludf.DUMMYFUNCTION("""COMPUTED_VALUE"""),1201)</f>
        <v>1201</v>
      </c>
      <c r="F31" s="14" t="str">
        <f ca="1">IFERROR(__xludf.DUMMYFUNCTION("""COMPUTED_VALUE"""),"Ivan Filtenborg")</f>
        <v>Ivan Filtenborg</v>
      </c>
      <c r="G31" s="14" t="str">
        <f ca="1">IFERROR(__xludf.DUMMYFUNCTION("""COMPUTED_VALUE"""),"ivan@edc.dk")</f>
        <v>ivan@edc.dk</v>
      </c>
      <c r="H31" s="14" t="str">
        <f ca="1">IFERROR(__xludf.DUMMYFUNCTION("""COMPUTED_VALUE"""),"73 52 04 04")</f>
        <v>73 52 04 04</v>
      </c>
      <c r="I31" s="14" t="str">
        <f ca="1">IFERROR(__xludf.DUMMYFUNCTION("""COMPUTED_VALUE"""),"Gåskærgade 56")</f>
        <v>Gåskærgade 56</v>
      </c>
      <c r="J31" s="14">
        <f ca="1">IFERROR(__xludf.DUMMYFUNCTION("""COMPUTED_VALUE"""),6100)</f>
        <v>6100</v>
      </c>
      <c r="K31" s="14" t="str">
        <f ca="1">IFERROR(__xludf.DUMMYFUNCTION("""COMPUTED_VALUE"""),"Haderslev")</f>
        <v>Haderslev</v>
      </c>
      <c r="L31" s="14" t="str">
        <f ca="1">IFERROR(__xludf.DUMMYFUNCTION("""COMPUTED_VALUE"""),"Haderslev")</f>
        <v>Haderslev</v>
      </c>
      <c r="M31" s="14" t="str">
        <f ca="1">IFERROR(__xludf.DUMMYFUNCTION("""COMPUTED_VALUE"""),"Sydjylland")</f>
        <v>Sydjylland</v>
      </c>
      <c r="N31" s="14" t="str">
        <f ca="1">IFERROR(__xludf.DUMMYFUNCTION("""COMPUTED_VALUE"""),"Syddanmark")</f>
        <v>Syddanmark</v>
      </c>
      <c r="O31" s="14" t="str">
        <f ca="1">IFERROR(__xludf.DUMMYFUNCTION("""COMPUTED_VALUE"""),"73 52 04 04")</f>
        <v>73 52 04 04</v>
      </c>
      <c r="P31" s="14" t="str">
        <f ca="1">IFERROR(__xludf.DUMMYFUNCTION("""COMPUTED_VALUE"""),"608@edc.dk")</f>
        <v>608@edc.dk</v>
      </c>
      <c r="Q31" s="15" t="str">
        <f ca="1">IFERROR(__xludf.DUMMYFUNCTION("""COMPUTED_VALUE"""),"https://www.boliga.dk/maegler/840")</f>
        <v>https://www.boliga.dk/maegler/840</v>
      </c>
      <c r="R31" s="14" t="str">
        <f ca="1">IFERROR(__xludf.DUMMYFUNCTION("""COMPUTED_VALUE"""),"-")</f>
        <v>-</v>
      </c>
      <c r="S31" s="14" t="str">
        <f ca="1">IFERROR(__xludf.DUMMYFUNCTION("""COMPUTED_VALUE"""),"-")</f>
        <v>-</v>
      </c>
      <c r="T31" s="14" t="str">
        <f ca="1">IFERROR(__xludf.DUMMYFUNCTION("""COMPUTED_VALUE"""),"-")</f>
        <v>-</v>
      </c>
      <c r="U31" s="14">
        <f ca="1">IFERROR(__xludf.DUMMYFUNCTION("""COMPUTED_VALUE"""),46)</f>
        <v>46</v>
      </c>
      <c r="V31" s="14">
        <f ca="1">IFERROR(__xludf.DUMMYFUNCTION("""COMPUTED_VALUE"""),6100)</f>
        <v>6100</v>
      </c>
      <c r="W31" s="14">
        <f ca="1">IFERROR(__xludf.DUMMYFUNCTION("""COMPUTED_VALUE"""),25)</f>
        <v>25</v>
      </c>
      <c r="X31" s="14">
        <f ca="1">IFERROR(__xludf.DUMMYFUNCTION("""COMPUTED_VALUE"""),6100)</f>
        <v>6100</v>
      </c>
      <c r="Y31" s="14" t="str">
        <f ca="1">IFERROR(__xludf.DUMMYFUNCTION("""COMPUTED_VALUE"""),"ja")</f>
        <v>ja</v>
      </c>
      <c r="Z31" s="14"/>
      <c r="AA31" s="16"/>
      <c r="AB31" s="14" t="str">
        <f ca="1">IFERROR(__xludf.DUMMYFUNCTION("""COMPUTED_VALUE"""),"x")</f>
        <v>x</v>
      </c>
      <c r="AC31" s="14" t="str">
        <f ca="1">IFERROR(__xludf.DUMMYFUNCTION("""COMPUTED_VALUE"""),"x")</f>
        <v>x</v>
      </c>
    </row>
  </sheetData>
  <hyperlinks>
    <hyperlink ref="Q2" r:id="rId1" display="https://www.boliga.dk/maegler/85" xr:uid="{00000000-0004-0000-0800-000000000000}"/>
    <hyperlink ref="Q3" r:id="rId2" display="https://www.boliga.dk/maegler/938" xr:uid="{00000000-0004-0000-0800-000001000000}"/>
    <hyperlink ref="Q4" r:id="rId3" display="https://www.boliga.dk/maegler/703" xr:uid="{00000000-0004-0000-0800-000002000000}"/>
    <hyperlink ref="Q5" r:id="rId4" display="https://www.boliga.dk/maegler/992" xr:uid="{00000000-0004-0000-0800-000003000000}"/>
    <hyperlink ref="Q6" r:id="rId5" display="https://www.boliga.dk/maegler/916" xr:uid="{00000000-0004-0000-0800-000004000000}"/>
    <hyperlink ref="Q7" r:id="rId6" display="https://www.boliga.dk/maegler/700" xr:uid="{00000000-0004-0000-0800-000005000000}"/>
    <hyperlink ref="Q8" r:id="rId7" display="https://www.boliga.dk/maegler/1002" xr:uid="{00000000-0004-0000-0800-000006000000}"/>
    <hyperlink ref="Q9" r:id="rId8" display="https://www.boliga.dk/maegler/77" xr:uid="{00000000-0004-0000-0800-000007000000}"/>
    <hyperlink ref="Q10" r:id="rId9" display="https://www.boliga.dk/maegler/827" xr:uid="{00000000-0004-0000-0800-000008000000}"/>
    <hyperlink ref="Q11" r:id="rId10" display="https://www.boliga.dk/maegler/845" xr:uid="{00000000-0004-0000-0800-000009000000}"/>
    <hyperlink ref="Q12" r:id="rId11" display="https://www.boliga.dk/maegler/37" xr:uid="{00000000-0004-0000-0800-00000A000000}"/>
    <hyperlink ref="Q13" r:id="rId12" display="https://www.boliga.dk/maegler/1032" xr:uid="{00000000-0004-0000-0800-00000B000000}"/>
    <hyperlink ref="Q14" r:id="rId13" display="https://www.boliga.dk/maegler/990" xr:uid="{00000000-0004-0000-0800-00000C000000}"/>
    <hyperlink ref="Q15" r:id="rId14" display="https://www.boliga.dk/maegler/194" xr:uid="{00000000-0004-0000-0800-00000D000000}"/>
    <hyperlink ref="Q16" r:id="rId15" display="https://www.boliga.dk/maegler/396" xr:uid="{00000000-0004-0000-0800-00000E000000}"/>
    <hyperlink ref="Q17" r:id="rId16" display="https://www.boliga.dk/maegler/623" xr:uid="{00000000-0004-0000-0800-00000F000000}"/>
    <hyperlink ref="Q18" r:id="rId17" display="https://www.boliga.dk/maegler/28" xr:uid="{00000000-0004-0000-0800-000010000000}"/>
    <hyperlink ref="Q19" r:id="rId18" display="https://www.boliga.dk/maegler/454" xr:uid="{00000000-0004-0000-0800-000011000000}"/>
    <hyperlink ref="Q20" r:id="rId19" display="https://www.boliga.dk/maegler/487" xr:uid="{00000000-0004-0000-0800-000012000000}"/>
    <hyperlink ref="Q21" r:id="rId20" display="https://www.boliga.dk/maegler/991" xr:uid="{00000000-0004-0000-0800-000013000000}"/>
    <hyperlink ref="Q22" r:id="rId21" display="https://www.boliga.dk/maegler/249" xr:uid="{00000000-0004-0000-0800-000014000000}"/>
    <hyperlink ref="Q23" r:id="rId22" display="https://www.boliga.dk/maegler/562" xr:uid="{00000000-0004-0000-0800-000015000000}"/>
    <hyperlink ref="Q24" r:id="rId23" display="https://www.boliga.dk/maegler/971" xr:uid="{00000000-0004-0000-0800-000016000000}"/>
    <hyperlink ref="Q25" r:id="rId24" display="https://www.boliga.dk/maegler/665" xr:uid="{00000000-0004-0000-0800-000017000000}"/>
    <hyperlink ref="Q26" r:id="rId25" display="https://www.boliga.dk/maegler/269" xr:uid="{00000000-0004-0000-0800-000018000000}"/>
    <hyperlink ref="Q27" r:id="rId26" display="https://www.boliga.dk/maegler/311" xr:uid="{00000000-0004-0000-0800-000019000000}"/>
    <hyperlink ref="Q28" r:id="rId27" display="https://www.boliga.dk/maegler/447" xr:uid="{00000000-0004-0000-0800-00001A000000}"/>
    <hyperlink ref="Q29" r:id="rId28" display="https://www.boliga.dk/maegler/17600" xr:uid="{00000000-0004-0000-0800-00001B000000}"/>
    <hyperlink ref="Q30" r:id="rId29" display="https://www.boliga.dk/maegler/331" xr:uid="{00000000-0004-0000-0800-00001C000000}"/>
    <hyperlink ref="Q31" r:id="rId30" display="https://www.boliga.dk/maegler/840" xr:uid="{00000000-0004-0000-08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D63"/>
  <sheetViews>
    <sheetView workbookViewId="0">
      <selection sqref="A1:XFD1"/>
    </sheetView>
  </sheetViews>
  <sheetFormatPr defaultColWidth="12.6328125" defaultRowHeight="15.75" customHeight="1" x14ac:dyDescent="0.25"/>
  <cols>
    <col min="2" max="2" width="32.81640625" customWidth="1"/>
    <col min="17" max="17" width="29.453125" customWidth="1"/>
  </cols>
  <sheetData>
    <row r="1" spans="1:30" ht="15.75" customHeight="1" x14ac:dyDescent="0.35">
      <c r="A1" s="1" t="s">
        <v>0</v>
      </c>
      <c r="B1" s="2" t="s">
        <v>1</v>
      </c>
      <c r="C1" s="10" t="s">
        <v>2</v>
      </c>
      <c r="D1" s="9" t="s">
        <v>3</v>
      </c>
      <c r="E1" s="10" t="s">
        <v>4</v>
      </c>
      <c r="F1" s="2" t="s">
        <v>5</v>
      </c>
      <c r="G1" s="11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7" t="s">
        <v>28</v>
      </c>
      <c r="AD1" s="8"/>
    </row>
    <row r="2" spans="1:30" ht="15.75" customHeight="1" x14ac:dyDescent="0.25">
      <c r="A2" s="14" t="str">
        <f ca="1">IFERROR(__xludf.DUMMYFUNCTION("FILTER('Realmæglerne'!A2:AC91,'Realmæglerne'!Y2:Y91=""Ja"")"),"Camilla")</f>
        <v>Camilla</v>
      </c>
      <c r="B2" s="14" t="str">
        <f ca="1">IFERROR(__xludf.DUMMYFUNCTION("""COMPUTED_VALUE"""),"RealMæglerne København City &amp; Christianshavn ApS")</f>
        <v>RealMæglerne København City &amp; Christianshavn ApS</v>
      </c>
      <c r="C2" s="14">
        <f ca="1">IFERROR(__xludf.DUMMYFUNCTION("""COMPUTED_VALUE"""),41350180)</f>
        <v>41350180</v>
      </c>
      <c r="D2" s="14" t="str">
        <f ca="1">IFERROR(__xludf.DUMMYFUNCTION("""COMPUTED_VALUE"""),"MG-SJ: 3.499,-")</f>
        <v>MG-SJ: 3.499,-</v>
      </c>
      <c r="E2" s="14">
        <f ca="1">IFERROR(__xludf.DUMMYFUNCTION("""COMPUTED_VALUE"""),1202)</f>
        <v>1202</v>
      </c>
      <c r="F2" s="14" t="str">
        <f ca="1">IFERROR(__xludf.DUMMYFUNCTION("""COMPUTED_VALUE"""),"Mathias Fermann Larsen")</f>
        <v>Mathias Fermann Larsen</v>
      </c>
      <c r="G2" s="14" t="str">
        <f ca="1">IFERROR(__xludf.DUMMYFUNCTION("""COMPUTED_VALUE"""),"mfl@mailreal.dk")</f>
        <v>mfl@mailreal.dk</v>
      </c>
      <c r="H2" s="14">
        <f ca="1">IFERROR(__xludf.DUMMYFUNCTION("""COMPUTED_VALUE"""),42631207)</f>
        <v>42631207</v>
      </c>
      <c r="I2" s="14" t="str">
        <f ca="1">IFERROR(__xludf.DUMMYFUNCTION("""COMPUTED_VALUE"""),"Havnegade 39")</f>
        <v>Havnegade 39</v>
      </c>
      <c r="J2" s="14">
        <f ca="1">IFERROR(__xludf.DUMMYFUNCTION("""COMPUTED_VALUE"""),1058)</f>
        <v>1058</v>
      </c>
      <c r="K2" s="14" t="str">
        <f ca="1">IFERROR(__xludf.DUMMYFUNCTION("""COMPUTED_VALUE"""),"København K")</f>
        <v>København K</v>
      </c>
      <c r="L2" s="14" t="str">
        <f ca="1">IFERROR(__xludf.DUMMYFUNCTION("""COMPUTED_VALUE"""),"København")</f>
        <v>København</v>
      </c>
      <c r="M2" s="14" t="str">
        <f ca="1">IFERROR(__xludf.DUMMYFUNCTION("""COMPUTED_VALUE"""),"København By")</f>
        <v>København By</v>
      </c>
      <c r="N2" s="14" t="str">
        <f ca="1">IFERROR(__xludf.DUMMYFUNCTION("""COMPUTED_VALUE"""),"Hovedstaden")</f>
        <v>Hovedstaden</v>
      </c>
      <c r="O2" s="14">
        <f ca="1">IFERROR(__xludf.DUMMYFUNCTION("""COMPUTED_VALUE"""),42631207)</f>
        <v>42631207</v>
      </c>
      <c r="P2" s="14" t="str">
        <f ca="1">IFERROR(__xludf.DUMMYFUNCTION("""COMPUTED_VALUE"""),"1058@mailreal.dk")</f>
        <v>1058@mailreal.dk</v>
      </c>
      <c r="Q2" s="15" t="str">
        <f ca="1">IFERROR(__xludf.DUMMYFUNCTION("""COMPUTED_VALUE"""),"https://www.boliga.dk/maegler/27100")</f>
        <v>https://www.boliga.dk/maegler/27100</v>
      </c>
      <c r="R2" s="14" t="str">
        <f ca="1">IFERROR(__xludf.DUMMYFUNCTION("""COMPUTED_VALUE"""),"-")</f>
        <v>-</v>
      </c>
      <c r="S2" s="18" t="str">
        <f ca="1">IFERROR(__xludf.DUMMYFUNCTION("""COMPUTED_VALUE"""),"-")</f>
        <v>-</v>
      </c>
      <c r="T2" s="14" t="str">
        <f ca="1">IFERROR(__xludf.DUMMYFUNCTION("""COMPUTED_VALUE"""),"-")</f>
        <v>-</v>
      </c>
      <c r="U2" s="14">
        <f ca="1">IFERROR(__xludf.DUMMYFUNCTION("""COMPUTED_VALUE"""),4)</f>
        <v>4</v>
      </c>
      <c r="V2" s="14" t="str">
        <f ca="1">IFERROR(__xludf.DUMMYFUNCTION("""COMPUTED_VALUE"""),"2300, 1208, 1123, 1364")</f>
        <v>2300, 1208, 1123, 1364</v>
      </c>
      <c r="W2" s="14">
        <f ca="1">IFERROR(__xludf.DUMMYFUNCTION("""COMPUTED_VALUE"""),5)</f>
        <v>5</v>
      </c>
      <c r="X2" s="14" t="str">
        <f ca="1">IFERROR(__xludf.DUMMYFUNCTION("""COMPUTED_VALUE"""),"2100, 1063, 1719, 1300")</f>
        <v>2100, 1063, 1719, 1300</v>
      </c>
      <c r="Y2" s="14" t="str">
        <f ca="1">IFERROR(__xludf.DUMMYFUNCTION("""COMPUTED_VALUE"""),"ja")</f>
        <v>ja</v>
      </c>
      <c r="Z2" s="14"/>
      <c r="AA2" s="14"/>
      <c r="AB2" s="14" t="str">
        <f ca="1">IFERROR(__xludf.DUMMYFUNCTION("""COMPUTED_VALUE"""),"x")</f>
        <v>x</v>
      </c>
      <c r="AC2" s="14" t="str">
        <f ca="1">IFERROR(__xludf.DUMMYFUNCTION("""COMPUTED_VALUE"""),"x")</f>
        <v>x</v>
      </c>
    </row>
    <row r="3" spans="1:30" ht="15.75" customHeight="1" x14ac:dyDescent="0.25">
      <c r="A3" s="14" t="str">
        <f ca="1">IFERROR(__xludf.DUMMYFUNCTION("""COMPUTED_VALUE"""),"Camilla")</f>
        <v>Camilla</v>
      </c>
      <c r="B3" s="14" t="str">
        <f ca="1">IFERROR(__xludf.DUMMYFUNCTION("""COMPUTED_VALUE"""),"RealMæglerne Hanne Løye")</f>
        <v>RealMæglerne Hanne Løye</v>
      </c>
      <c r="C3" s="14"/>
      <c r="D3" s="14"/>
      <c r="E3" s="14" t="str">
        <f ca="1">IFERROR(__xludf.DUMMYFUNCTION("""COMPUTED_VALUE"""),"N/A")</f>
        <v>N/A</v>
      </c>
      <c r="F3" s="14"/>
      <c r="G3" s="14"/>
      <c r="H3" s="14"/>
      <c r="I3" s="14" t="str">
        <f ca="1">IFERROR(__xludf.DUMMYFUNCTION("""COMPUTED_VALUE"""),"Falkoner Allé 18")</f>
        <v>Falkoner Allé 18</v>
      </c>
      <c r="J3" s="14">
        <f ca="1">IFERROR(__xludf.DUMMYFUNCTION("""COMPUTED_VALUE"""),2000)</f>
        <v>2000</v>
      </c>
      <c r="K3" s="14" t="str">
        <f ca="1">IFERROR(__xludf.DUMMYFUNCTION("""COMPUTED_VALUE"""),"Frederiksberg")</f>
        <v>Frederiksberg</v>
      </c>
      <c r="L3" s="14" t="str">
        <f ca="1">IFERROR(__xludf.DUMMYFUNCTION("""COMPUTED_VALUE"""),"Frederiksberg")</f>
        <v>Frederiksberg</v>
      </c>
      <c r="M3" s="14" t="str">
        <f ca="1">IFERROR(__xludf.DUMMYFUNCTION("""COMPUTED_VALUE"""),"København By")</f>
        <v>København By</v>
      </c>
      <c r="N3" s="14" t="str">
        <f ca="1">IFERROR(__xludf.DUMMYFUNCTION("""COMPUTED_VALUE"""),"Hovedstaden")</f>
        <v>Hovedstaden</v>
      </c>
      <c r="O3" s="14">
        <f ca="1">IFERROR(__xludf.DUMMYFUNCTION("""COMPUTED_VALUE"""),38346500)</f>
        <v>38346500</v>
      </c>
      <c r="P3" s="14" t="str">
        <f ca="1">IFERROR(__xludf.DUMMYFUNCTION("""COMPUTED_VALUE"""),"2000@mailreal.dk")</f>
        <v>2000@mailreal.dk</v>
      </c>
      <c r="Q3" s="15" t="str">
        <f ca="1">IFERROR(__xludf.DUMMYFUNCTION("""COMPUTED_VALUE"""),"https://www.boliga.dk/maegler/476")</f>
        <v>https://www.boliga.dk/maegler/476</v>
      </c>
      <c r="R3" s="14" t="str">
        <f ca="1">IFERROR(__xludf.DUMMYFUNCTION("""COMPUTED_VALUE"""),"-")</f>
        <v>-</v>
      </c>
      <c r="S3" s="18" t="str">
        <f ca="1">IFERROR(__xludf.DUMMYFUNCTION("""COMPUTED_VALUE"""),"-")</f>
        <v>-</v>
      </c>
      <c r="T3" s="14" t="str">
        <f ca="1">IFERROR(__xludf.DUMMYFUNCTION("""COMPUTED_VALUE"""),"-")</f>
        <v>-</v>
      </c>
      <c r="U3" s="14">
        <f ca="1">IFERROR(__xludf.DUMMYFUNCTION("""COMPUTED_VALUE"""),16)</f>
        <v>16</v>
      </c>
      <c r="V3" s="14" t="str">
        <f ca="1">IFERROR(__xludf.DUMMYFUNCTION("""COMPUTED_VALUE"""),"2000, 1970, 1871, 1916, 2500, 2720")</f>
        <v>2000, 1970, 1871, 1916, 2500, 2720</v>
      </c>
      <c r="W3" s="14">
        <f ca="1">IFERROR(__xludf.DUMMYFUNCTION("""COMPUTED_VALUE"""),17)</f>
        <v>17</v>
      </c>
      <c r="X3" s="14" t="str">
        <f ca="1">IFERROR(__xludf.DUMMYFUNCTION("""COMPUTED_VALUE"""),"1655, 1800, 1601, 1801, 2000, 1865, 1829, 2605, 1964")</f>
        <v>1655, 1800, 1601, 1801, 2000, 1865, 1829, 2605, 1964</v>
      </c>
      <c r="Y3" s="14" t="str">
        <f ca="1">IFERROR(__xludf.DUMMYFUNCTION("""COMPUTED_VALUE"""),"ja")</f>
        <v>ja</v>
      </c>
      <c r="Z3" s="14" t="str">
        <f ca="1">IFERROR(__xludf.DUMMYFUNCTION("""COMPUTED_VALUE"""),"Lars Ringsted har overtaget butikken. Martin fortsætter dialog")</f>
        <v>Lars Ringsted har overtaget butikken. Martin fortsætter dialog</v>
      </c>
      <c r="AA3" s="16"/>
      <c r="AB3" s="14"/>
      <c r="AC3" s="14"/>
    </row>
    <row r="4" spans="1:30" ht="15.75" customHeight="1" x14ac:dyDescent="0.25">
      <c r="A4" s="14" t="str">
        <f ca="1">IFERROR(__xludf.DUMMYFUNCTION("""COMPUTED_VALUE"""),"Camilla")</f>
        <v>Camilla</v>
      </c>
      <c r="B4" s="14" t="str">
        <f ca="1">IFERROR(__xludf.DUMMYFUNCTION("""COMPUTED_VALUE"""),"RealMæglerne Nørrebro &amp; Nordvest ApS")</f>
        <v>RealMæglerne Nørrebro &amp; Nordvest ApS</v>
      </c>
      <c r="C4" s="14">
        <f ca="1">IFERROR(__xludf.DUMMYFUNCTION("""COMPUTED_VALUE"""),32762999)</f>
        <v>32762999</v>
      </c>
      <c r="D4" s="14" t="str">
        <f ca="1">IFERROR(__xludf.DUMMYFUNCTION("""COMPUTED_VALUE"""),"MG-SJ: 3.499,-")</f>
        <v>MG-SJ: 3.499,-</v>
      </c>
      <c r="E4" s="14">
        <f ca="1">IFERROR(__xludf.DUMMYFUNCTION("""COMPUTED_VALUE"""),1202)</f>
        <v>1202</v>
      </c>
      <c r="F4" s="14" t="str">
        <f ca="1">IFERROR(__xludf.DUMMYFUNCTION("""COMPUTED_VALUE"""),"Torsten Kristensen")</f>
        <v>Torsten Kristensen</v>
      </c>
      <c r="G4" s="14" t="str">
        <f ca="1">IFERROR(__xludf.DUMMYFUNCTION("""COMPUTED_VALUE"""),"tk@mailreal.dk")</f>
        <v>tk@mailreal.dk</v>
      </c>
      <c r="H4" s="14">
        <f ca="1">IFERROR(__xludf.DUMMYFUNCTION("""COMPUTED_VALUE"""),22370990)</f>
        <v>22370990</v>
      </c>
      <c r="I4" s="14" t="str">
        <f ca="1">IFERROR(__xludf.DUMMYFUNCTION("""COMPUTED_VALUE"""),"Jagtvej 87")</f>
        <v>Jagtvej 87</v>
      </c>
      <c r="J4" s="14">
        <f ca="1">IFERROR(__xludf.DUMMYFUNCTION("""COMPUTED_VALUE"""),2200)</f>
        <v>2200</v>
      </c>
      <c r="K4" s="14" t="str">
        <f ca="1">IFERROR(__xludf.DUMMYFUNCTION("""COMPUTED_VALUE"""),"København N")</f>
        <v>København N</v>
      </c>
      <c r="L4" s="14" t="str">
        <f ca="1">IFERROR(__xludf.DUMMYFUNCTION("""COMPUTED_VALUE"""),"København")</f>
        <v>København</v>
      </c>
      <c r="M4" s="14" t="str">
        <f ca="1">IFERROR(__xludf.DUMMYFUNCTION("""COMPUTED_VALUE"""),"København By")</f>
        <v>København By</v>
      </c>
      <c r="N4" s="14" t="str">
        <f ca="1">IFERROR(__xludf.DUMMYFUNCTION("""COMPUTED_VALUE"""),"Hovedstaden")</f>
        <v>Hovedstaden</v>
      </c>
      <c r="O4" s="14">
        <f ca="1">IFERROR(__xludf.DUMMYFUNCTION("""COMPUTED_VALUE"""),35422200)</f>
        <v>35422200</v>
      </c>
      <c r="P4" s="14" t="str">
        <f ca="1">IFERROR(__xludf.DUMMYFUNCTION("""COMPUTED_VALUE"""),"2200@mailreal.dk")</f>
        <v>2200@mailreal.dk</v>
      </c>
      <c r="Q4" s="15" t="str">
        <f ca="1">IFERROR(__xludf.DUMMYFUNCTION("""COMPUTED_VALUE"""),"https://www.boliga.dk/maegler/54")</f>
        <v>https://www.boliga.dk/maegler/54</v>
      </c>
      <c r="R4" s="14" t="str">
        <f ca="1">IFERROR(__xludf.DUMMYFUNCTION("""COMPUTED_VALUE"""),"-")</f>
        <v>-</v>
      </c>
      <c r="S4" s="18" t="str">
        <f ca="1">IFERROR(__xludf.DUMMYFUNCTION("""COMPUTED_VALUE"""),"-")</f>
        <v>-</v>
      </c>
      <c r="T4" s="14" t="str">
        <f ca="1">IFERROR(__xludf.DUMMYFUNCTION("""COMPUTED_VALUE"""),"-")</f>
        <v>-</v>
      </c>
      <c r="U4" s="14">
        <f ca="1">IFERROR(__xludf.DUMMYFUNCTION("""COMPUTED_VALUE"""),2)</f>
        <v>2</v>
      </c>
      <c r="V4" s="14">
        <f ca="1">IFERROR(__xludf.DUMMYFUNCTION("""COMPUTED_VALUE"""),2200)</f>
        <v>2200</v>
      </c>
      <c r="W4" s="14">
        <f ca="1">IFERROR(__xludf.DUMMYFUNCTION("""COMPUTED_VALUE"""),4)</f>
        <v>4</v>
      </c>
      <c r="X4" s="14" t="str">
        <f ca="1">IFERROR(__xludf.DUMMYFUNCTION("""COMPUTED_VALUE"""),"2200, 2300")</f>
        <v>2200, 2300</v>
      </c>
      <c r="Y4" s="14" t="str">
        <f ca="1">IFERROR(__xludf.DUMMYFUNCTION("""COMPUTED_VALUE"""),"ja")</f>
        <v>ja</v>
      </c>
      <c r="Z4" s="14" t="str">
        <f ca="1">IFERROR(__xludf.DUMMYFUNCTION("""COMPUTED_VALUE"""),"Har ikke taget telefonen endnu")</f>
        <v>Har ikke taget telefonen endnu</v>
      </c>
      <c r="AA4" s="16"/>
      <c r="AB4" s="14" t="str">
        <f ca="1">IFERROR(__xludf.DUMMYFUNCTION("""COMPUTED_VALUE"""),"x")</f>
        <v>x</v>
      </c>
      <c r="AC4" s="14" t="str">
        <f ca="1">IFERROR(__xludf.DUMMYFUNCTION("""COMPUTED_VALUE"""),"x")</f>
        <v>x</v>
      </c>
    </row>
    <row r="5" spans="1:30" ht="15.75" customHeight="1" x14ac:dyDescent="0.25">
      <c r="A5" s="14" t="str">
        <f ca="1">IFERROR(__xludf.DUMMYFUNCTION("""COMPUTED_VALUE"""),"Camilla")</f>
        <v>Camilla</v>
      </c>
      <c r="B5" s="14" t="str">
        <f ca="1">IFERROR(__xludf.DUMMYFUNCTION("""COMPUTED_VALUE"""),"RealMæglerne Amagerbro ApS")</f>
        <v>RealMæglerne Amagerbro ApS</v>
      </c>
      <c r="C5" s="14">
        <f ca="1">IFERROR(__xludf.DUMMYFUNCTION("""COMPUTED_VALUE"""),38805568)</f>
        <v>38805568</v>
      </c>
      <c r="D5" s="14" t="str">
        <f ca="1">IFERROR(__xludf.DUMMYFUNCTION("""COMPUTED_VALUE"""),"MG-SJ: 3.499,-")</f>
        <v>MG-SJ: 3.499,-</v>
      </c>
      <c r="E5" s="14">
        <f ca="1">IFERROR(__xludf.DUMMYFUNCTION("""COMPUTED_VALUE"""),1202)</f>
        <v>1202</v>
      </c>
      <c r="F5" s="14" t="str">
        <f ca="1">IFERROR(__xludf.DUMMYFUNCTION("""COMPUTED_VALUE"""),"Dilsad Sahin")</f>
        <v>Dilsad Sahin</v>
      </c>
      <c r="G5" s="14" t="str">
        <f ca="1">IFERROR(__xludf.DUMMYFUNCTION("""COMPUTED_VALUE"""),"dilsad@mailreal.dk")</f>
        <v>dilsad@mailreal.dk</v>
      </c>
      <c r="H5" s="14">
        <f ca="1">IFERROR(__xludf.DUMMYFUNCTION("""COMPUTED_VALUE"""),24447376)</f>
        <v>24447376</v>
      </c>
      <c r="I5" s="14" t="str">
        <f ca="1">IFERROR(__xludf.DUMMYFUNCTION("""COMPUTED_VALUE"""),"Holmbladsgade 18")</f>
        <v>Holmbladsgade 18</v>
      </c>
      <c r="J5" s="14">
        <f ca="1">IFERROR(__xludf.DUMMYFUNCTION("""COMPUTED_VALUE"""),2300)</f>
        <v>2300</v>
      </c>
      <c r="K5" s="14" t="str">
        <f ca="1">IFERROR(__xludf.DUMMYFUNCTION("""COMPUTED_VALUE"""),"København S")</f>
        <v>København S</v>
      </c>
      <c r="L5" s="14" t="str">
        <f ca="1">IFERROR(__xludf.DUMMYFUNCTION("""COMPUTED_VALUE"""),"København")</f>
        <v>København</v>
      </c>
      <c r="M5" s="14" t="str">
        <f ca="1">IFERROR(__xludf.DUMMYFUNCTION("""COMPUTED_VALUE"""),"København By")</f>
        <v>København By</v>
      </c>
      <c r="N5" s="14" t="str">
        <f ca="1">IFERROR(__xludf.DUMMYFUNCTION("""COMPUTED_VALUE"""),"Hovedstaden")</f>
        <v>Hovedstaden</v>
      </c>
      <c r="O5" s="14">
        <f ca="1">IFERROR(__xludf.DUMMYFUNCTION("""COMPUTED_VALUE"""),32572211)</f>
        <v>32572211</v>
      </c>
      <c r="P5" s="14" t="str">
        <f ca="1">IFERROR(__xludf.DUMMYFUNCTION("""COMPUTED_VALUE"""),"amager@mailreal.dk")</f>
        <v>amager@mailreal.dk</v>
      </c>
      <c r="Q5" s="15" t="str">
        <f ca="1">IFERROR(__xludf.DUMMYFUNCTION("""COMPUTED_VALUE"""),"https://www.boliga.dk/maegler/535")</f>
        <v>https://www.boliga.dk/maegler/535</v>
      </c>
      <c r="R5" s="14" t="str">
        <f ca="1">IFERROR(__xludf.DUMMYFUNCTION("""COMPUTED_VALUE"""),"-")</f>
        <v>-</v>
      </c>
      <c r="S5" s="18" t="str">
        <f ca="1">IFERROR(__xludf.DUMMYFUNCTION("""COMPUTED_VALUE"""),"-")</f>
        <v>-</v>
      </c>
      <c r="T5" s="14" t="str">
        <f ca="1">IFERROR(__xludf.DUMMYFUNCTION("""COMPUTED_VALUE"""),"-")</f>
        <v>-</v>
      </c>
      <c r="U5" s="14" t="str">
        <f ca="1">IFERROR(__xludf.DUMMYFUNCTION("""COMPUTED_VALUE"""),"-")</f>
        <v>-</v>
      </c>
      <c r="V5" s="14" t="str">
        <f ca="1">IFERROR(__xludf.DUMMYFUNCTION("""COMPUTED_VALUE"""),"-")</f>
        <v>-</v>
      </c>
      <c r="W5" s="14">
        <f ca="1">IFERROR(__xludf.DUMMYFUNCTION("""COMPUTED_VALUE"""),1)</f>
        <v>1</v>
      </c>
      <c r="X5" s="14">
        <f ca="1">IFERROR(__xludf.DUMMYFUNCTION("""COMPUTED_VALUE"""),2300)</f>
        <v>2300</v>
      </c>
      <c r="Y5" s="14" t="str">
        <f ca="1">IFERROR(__xludf.DUMMYFUNCTION("""COMPUTED_VALUE"""),"ja")</f>
        <v>ja</v>
      </c>
      <c r="Z5" s="14" t="str">
        <f ca="1">IFERROR(__xludf.DUMMYFUNCTION("""COMPUTED_VALUE"""),"Dilsad vender den også lige med den anden indehaver")</f>
        <v>Dilsad vender den også lige med den anden indehaver</v>
      </c>
      <c r="AA5" s="16"/>
      <c r="AB5" s="14" t="str">
        <f ca="1">IFERROR(__xludf.DUMMYFUNCTION("""COMPUTED_VALUE"""),"x")</f>
        <v>x</v>
      </c>
      <c r="AC5" s="14" t="str">
        <f ca="1">IFERROR(__xludf.DUMMYFUNCTION("""COMPUTED_VALUE"""),"x")</f>
        <v>x</v>
      </c>
    </row>
    <row r="6" spans="1:30" ht="15.75" customHeight="1" x14ac:dyDescent="0.25">
      <c r="A6" s="14" t="str">
        <f ca="1">IFERROR(__xludf.DUMMYFUNCTION("""COMPUTED_VALUE"""),"Camilla")</f>
        <v>Camilla</v>
      </c>
      <c r="B6" s="14" t="str">
        <f ca="1">IFERROR(__xludf.DUMMYFUNCTION("""COMPUTED_VALUE"""),"RealMæglerne Sundbyerne ApS")</f>
        <v>RealMæglerne Sundbyerne ApS</v>
      </c>
      <c r="C6" s="14">
        <f ca="1">IFERROR(__xludf.DUMMYFUNCTION("""COMPUTED_VALUE"""),38805568)</f>
        <v>38805568</v>
      </c>
      <c r="D6" s="14" t="str">
        <f ca="1">IFERROR(__xludf.DUMMYFUNCTION("""COMPUTED_VALUE"""),"MG-SJ: 3.499,-")</f>
        <v>MG-SJ: 3.499,-</v>
      </c>
      <c r="E6" s="14">
        <f ca="1">IFERROR(__xludf.DUMMYFUNCTION("""COMPUTED_VALUE"""),1202)</f>
        <v>1202</v>
      </c>
      <c r="F6" s="14" t="str">
        <f ca="1">IFERROR(__xludf.DUMMYFUNCTION("""COMPUTED_VALUE"""),"Dilsad Sahin")</f>
        <v>Dilsad Sahin</v>
      </c>
      <c r="G6" s="14" t="str">
        <f ca="1">IFERROR(__xludf.DUMMYFUNCTION("""COMPUTED_VALUE"""),"dilsad@mailreal.dk")</f>
        <v>dilsad@mailreal.dk</v>
      </c>
      <c r="H6" s="14">
        <f ca="1">IFERROR(__xludf.DUMMYFUNCTION("""COMPUTED_VALUE"""),24447376)</f>
        <v>24447376</v>
      </c>
      <c r="I6" s="14" t="str">
        <f ca="1">IFERROR(__xludf.DUMMYFUNCTION("""COMPUTED_VALUE"""),"Amagerbrogade 180")</f>
        <v>Amagerbrogade 180</v>
      </c>
      <c r="J6" s="14">
        <f ca="1">IFERROR(__xludf.DUMMYFUNCTION("""COMPUTED_VALUE"""),2300)</f>
        <v>2300</v>
      </c>
      <c r="K6" s="14" t="str">
        <f ca="1">IFERROR(__xludf.DUMMYFUNCTION("""COMPUTED_VALUE"""),"København S")</f>
        <v>København S</v>
      </c>
      <c r="L6" s="14" t="str">
        <f ca="1">IFERROR(__xludf.DUMMYFUNCTION("""COMPUTED_VALUE"""),"København")</f>
        <v>København</v>
      </c>
      <c r="M6" s="14" t="str">
        <f ca="1">IFERROR(__xludf.DUMMYFUNCTION("""COMPUTED_VALUE"""),"København By")</f>
        <v>København By</v>
      </c>
      <c r="N6" s="19" t="str">
        <f ca="1">IFERROR(__xludf.DUMMYFUNCTION("""COMPUTED_VALUE"""),"Hovedstaden")</f>
        <v>Hovedstaden</v>
      </c>
      <c r="O6" s="14">
        <f ca="1">IFERROR(__xludf.DUMMYFUNCTION("""COMPUTED_VALUE"""),32572211)</f>
        <v>32572211</v>
      </c>
      <c r="P6" s="14" t="str">
        <f ca="1">IFERROR(__xludf.DUMMYFUNCTION("""COMPUTED_VALUE"""),"amager@mailreal.dk")</f>
        <v>amager@mailreal.dk</v>
      </c>
      <c r="Q6" s="15" t="str">
        <f ca="1">IFERROR(__xludf.DUMMYFUNCTION("""COMPUTED_VALUE"""),"https://www.boliga.dk/maegler/17454")</f>
        <v>https://www.boliga.dk/maegler/17454</v>
      </c>
      <c r="R6" s="14" t="str">
        <f ca="1">IFERROR(__xludf.DUMMYFUNCTION("""COMPUTED_VALUE"""),"-")</f>
        <v>-</v>
      </c>
      <c r="S6" s="20" t="str">
        <f ca="1">IFERROR(__xludf.DUMMYFUNCTION("""COMPUTED_VALUE"""),"-")</f>
        <v>-</v>
      </c>
      <c r="T6" s="18" t="str">
        <f ca="1">IFERROR(__xludf.DUMMYFUNCTION("""COMPUTED_VALUE"""),"-")</f>
        <v>-</v>
      </c>
      <c r="U6" s="14">
        <f ca="1">IFERROR(__xludf.DUMMYFUNCTION("""COMPUTED_VALUE"""),47)</f>
        <v>47</v>
      </c>
      <c r="V6" s="14" t="str">
        <f ca="1">IFERROR(__xludf.DUMMYFUNCTION("""COMPUTED_VALUE"""),"2770, 2200, 2665, 2000, 2800, 2450, 2300")</f>
        <v>2770, 2200, 2665, 2000, 2800, 2450, 2300</v>
      </c>
      <c r="W6" s="14">
        <f ca="1">IFERROR(__xludf.DUMMYFUNCTION("""COMPUTED_VALUE"""),36)</f>
        <v>36</v>
      </c>
      <c r="X6" s="14" t="str">
        <f ca="1">IFERROR(__xludf.DUMMYFUNCTION("""COMPUTED_VALUE"""),"2665, 2100, 2300, 2200")</f>
        <v>2665, 2100, 2300, 2200</v>
      </c>
      <c r="Y6" s="14" t="str">
        <f ca="1">IFERROR(__xludf.DUMMYFUNCTION("""COMPUTED_VALUE"""),"ja")</f>
        <v>ja</v>
      </c>
      <c r="Z6" s="14"/>
      <c r="AA6" s="16"/>
      <c r="AB6" s="14" t="str">
        <f ca="1">IFERROR(__xludf.DUMMYFUNCTION("""COMPUTED_VALUE"""),"x")</f>
        <v>x</v>
      </c>
      <c r="AC6" s="14" t="str">
        <f ca="1">IFERROR(__xludf.DUMMYFUNCTION("""COMPUTED_VALUE"""),"x")</f>
        <v>x</v>
      </c>
    </row>
    <row r="7" spans="1:30" ht="15.75" customHeight="1" x14ac:dyDescent="0.25">
      <c r="A7" s="14" t="str">
        <f ca="1">IFERROR(__xludf.DUMMYFUNCTION("""COMPUTED_VALUE"""),"Camilla")</f>
        <v>Camilla</v>
      </c>
      <c r="B7" s="14" t="str">
        <f ca="1">IFERROR(__xludf.DUMMYFUNCTION("""COMPUTED_VALUE"""),"RealMæglerne Renny Clemmensen ApS")</f>
        <v>RealMæglerne Renny Clemmensen ApS</v>
      </c>
      <c r="C7" s="14">
        <f ca="1">IFERROR(__xludf.DUMMYFUNCTION("""COMPUTED_VALUE"""),38413724)</f>
        <v>38413724</v>
      </c>
      <c r="D7" s="14" t="str">
        <f ca="1">IFERROR(__xludf.DUMMYFUNCTION("""COMPUTED_VALUE"""),"MG-PM-SJ: 2.600,-")</f>
        <v>MG-PM-SJ: 2.600,-</v>
      </c>
      <c r="E7" s="14">
        <f ca="1">IFERROR(__xludf.DUMMYFUNCTION("""COMPUTED_VALUE"""),1204)</f>
        <v>1204</v>
      </c>
      <c r="F7" s="14" t="str">
        <f ca="1">IFERROR(__xludf.DUMMYFUNCTION("""COMPUTED_VALUE"""),"Renny Clemensen")</f>
        <v>Renny Clemensen</v>
      </c>
      <c r="G7" s="14" t="str">
        <f ca="1">IFERROR(__xludf.DUMMYFUNCTION("""COMPUTED_VALUE"""),"rec@mailreal.dk")</f>
        <v>rec@mailreal.dk</v>
      </c>
      <c r="H7" s="14">
        <f ca="1">IFERROR(__xludf.DUMMYFUNCTION("""COMPUTED_VALUE"""),29270200)</f>
        <v>29270200</v>
      </c>
      <c r="I7" s="14" t="str">
        <f ca="1">IFERROR(__xludf.DUMMYFUNCTION("""COMPUTED_VALUE"""),"Teglholmsgade 64A, st.")</f>
        <v>Teglholmsgade 64A, st.</v>
      </c>
      <c r="J7" s="14">
        <f ca="1">IFERROR(__xludf.DUMMYFUNCTION("""COMPUTED_VALUE"""),2450)</f>
        <v>2450</v>
      </c>
      <c r="K7" s="14" t="str">
        <f ca="1">IFERROR(__xludf.DUMMYFUNCTION("""COMPUTED_VALUE"""),"København SV")</f>
        <v>København SV</v>
      </c>
      <c r="L7" s="14" t="str">
        <f ca="1">IFERROR(__xludf.DUMMYFUNCTION("""COMPUTED_VALUE"""),"København")</f>
        <v>København</v>
      </c>
      <c r="M7" s="14" t="str">
        <f ca="1">IFERROR(__xludf.DUMMYFUNCTION("""COMPUTED_VALUE"""),"København By")</f>
        <v>København By</v>
      </c>
      <c r="N7" s="14" t="str">
        <f ca="1">IFERROR(__xludf.DUMMYFUNCTION("""COMPUTED_VALUE"""),"Hovedstaden")</f>
        <v>Hovedstaden</v>
      </c>
      <c r="O7" s="14">
        <f ca="1">IFERROR(__xludf.DUMMYFUNCTION("""COMPUTED_VALUE"""),31484849)</f>
        <v>31484849</v>
      </c>
      <c r="P7" s="14" t="str">
        <f ca="1">IFERROR(__xludf.DUMMYFUNCTION("""COMPUTED_VALUE"""),"2450@mailreal.dk")</f>
        <v>2450@mailreal.dk</v>
      </c>
      <c r="Q7" s="15" t="str">
        <f ca="1">IFERROR(__xludf.DUMMYFUNCTION("""COMPUTED_VALUE"""),"https://www.boliga.dk/maegler/22933")</f>
        <v>https://www.boliga.dk/maegler/22933</v>
      </c>
      <c r="R7" s="14" t="str">
        <f ca="1">IFERROR(__xludf.DUMMYFUNCTION("""COMPUTED_VALUE"""),"-")</f>
        <v>-</v>
      </c>
      <c r="S7" s="18" t="str">
        <f ca="1">IFERROR(__xludf.DUMMYFUNCTION("""COMPUTED_VALUE"""),"-")</f>
        <v>-</v>
      </c>
      <c r="T7" s="14" t="str">
        <f ca="1">IFERROR(__xludf.DUMMYFUNCTION("""COMPUTED_VALUE"""),"-")</f>
        <v>-</v>
      </c>
      <c r="U7" s="14">
        <f ca="1">IFERROR(__xludf.DUMMYFUNCTION("""COMPUTED_VALUE"""),16)</f>
        <v>16</v>
      </c>
      <c r="V7" s="14" t="str">
        <f ca="1">IFERROR(__xludf.DUMMYFUNCTION("""COMPUTED_VALUE"""),"1879, 2300, 2100, 2450, 2720")</f>
        <v>1879, 2300, 2100, 2450, 2720</v>
      </c>
      <c r="W7" s="14">
        <f ca="1">IFERROR(__xludf.DUMMYFUNCTION("""COMPUTED_VALUE"""),18)</f>
        <v>18</v>
      </c>
      <c r="X7" s="14" t="str">
        <f ca="1">IFERROR(__xludf.DUMMYFUNCTION("""COMPUTED_VALUE"""),"2450, 2000")</f>
        <v>2450, 2000</v>
      </c>
      <c r="Y7" s="14" t="str">
        <f ca="1">IFERROR(__xludf.DUMMYFUNCTION("""COMPUTED_VALUE"""),"ja")</f>
        <v>ja</v>
      </c>
      <c r="Z7" s="14" t="str">
        <f ca="1">IFERROR(__xludf.DUMMYFUNCTION("""COMPUTED_VALUE"""),"Renny er helt på, han vil bare gerne i gang med det samme")</f>
        <v>Renny er helt på, han vil bare gerne i gang med det samme</v>
      </c>
      <c r="AA7" s="16"/>
      <c r="AB7" s="14" t="str">
        <f ca="1">IFERROR(__xludf.DUMMYFUNCTION("""COMPUTED_VALUE"""),"x")</f>
        <v>x</v>
      </c>
      <c r="AC7" s="14" t="str">
        <f ca="1">IFERROR(__xludf.DUMMYFUNCTION("""COMPUTED_VALUE"""),"x")</f>
        <v>x</v>
      </c>
    </row>
    <row r="8" spans="1:30" ht="15.75" customHeight="1" x14ac:dyDescent="0.25">
      <c r="A8" s="14" t="str">
        <f ca="1">IFERROR(__xludf.DUMMYFUNCTION("""COMPUTED_VALUE"""),"Camilla")</f>
        <v>Camilla</v>
      </c>
      <c r="B8" s="14" t="str">
        <f ca="1">IFERROR(__xludf.DUMMYFUNCTION("""COMPUTED_VALUE"""),"RealMæglerne Rødovre")</f>
        <v>RealMæglerne Rødovre</v>
      </c>
      <c r="C8" s="14">
        <f ca="1">IFERROR(__xludf.DUMMYFUNCTION("""COMPUTED_VALUE"""),36017945)</f>
        <v>36017945</v>
      </c>
      <c r="D8" s="14" t="str">
        <f ca="1">IFERROR(__xludf.DUMMYFUNCTION("""COMPUTED_VALUE"""),"MG-SJ: 3.499,-")</f>
        <v>MG-SJ: 3.499,-</v>
      </c>
      <c r="E8" s="14">
        <f ca="1">IFERROR(__xludf.DUMMYFUNCTION("""COMPUTED_VALUE"""),1202)</f>
        <v>1202</v>
      </c>
      <c r="F8" s="14" t="str">
        <f ca="1">IFERROR(__xludf.DUMMYFUNCTION("""COMPUTED_VALUE"""),"Jacky")</f>
        <v>Jacky</v>
      </c>
      <c r="G8" s="14" t="str">
        <f ca="1">IFERROR(__xludf.DUMMYFUNCTION("""COMPUTED_VALUE"""),"jh@mailreal.dk")</f>
        <v>jh@mailreal.dk</v>
      </c>
      <c r="H8" s="14">
        <f ca="1">IFERROR(__xludf.DUMMYFUNCTION("""COMPUTED_VALUE"""),31211033)</f>
        <v>31211033</v>
      </c>
      <c r="I8" s="14" t="str">
        <f ca="1">IFERROR(__xludf.DUMMYFUNCTION("""COMPUTED_VALUE"""),"Rødovrevej 292")</f>
        <v>Rødovrevej 292</v>
      </c>
      <c r="J8" s="14">
        <f ca="1">IFERROR(__xludf.DUMMYFUNCTION("""COMPUTED_VALUE"""),2610)</f>
        <v>2610</v>
      </c>
      <c r="K8" s="14" t="str">
        <f ca="1">IFERROR(__xludf.DUMMYFUNCTION("""COMPUTED_VALUE"""),"Rødovre")</f>
        <v>Rødovre</v>
      </c>
      <c r="L8" s="14" t="str">
        <f ca="1">IFERROR(__xludf.DUMMYFUNCTION("""COMPUTED_VALUE"""),"Rødovre")</f>
        <v>Rødovre</v>
      </c>
      <c r="M8" s="14" t="str">
        <f ca="1">IFERROR(__xludf.DUMMYFUNCTION("""COMPUTED_VALUE"""),"Københavns omegn")</f>
        <v>Københavns omegn</v>
      </c>
      <c r="N8" s="14" t="str">
        <f ca="1">IFERROR(__xludf.DUMMYFUNCTION("""COMPUTED_VALUE"""),"Hovedstaden")</f>
        <v>Hovedstaden</v>
      </c>
      <c r="O8" s="14" t="str">
        <f ca="1">IFERROR(__xludf.DUMMYFUNCTION("""COMPUTED_VALUE"""),"6087 2828")</f>
        <v>6087 2828</v>
      </c>
      <c r="P8" s="14" t="str">
        <f ca="1">IFERROR(__xludf.DUMMYFUNCTION("""COMPUTED_VALUE"""),"2610@mailreal.dk")</f>
        <v>2610@mailreal.dk</v>
      </c>
      <c r="Q8" s="15" t="str">
        <f ca="1">IFERROR(__xludf.DUMMYFUNCTION("""COMPUTED_VALUE"""),"https://www.boliga.dk/maegler/18628")</f>
        <v>https://www.boliga.dk/maegler/18628</v>
      </c>
      <c r="R8" s="14" t="str">
        <f ca="1">IFERROR(__xludf.DUMMYFUNCTION("""COMPUTED_VALUE"""),"-")</f>
        <v>-</v>
      </c>
      <c r="S8" s="18" t="str">
        <f ca="1">IFERROR(__xludf.DUMMYFUNCTION("""COMPUTED_VALUE"""),"-")</f>
        <v>-</v>
      </c>
      <c r="T8" s="18" t="str">
        <f ca="1">IFERROR(__xludf.DUMMYFUNCTION("""COMPUTED_VALUE"""),"-")</f>
        <v>-</v>
      </c>
      <c r="U8" s="14">
        <f ca="1">IFERROR(__xludf.DUMMYFUNCTION("""COMPUTED_VALUE"""),10)</f>
        <v>10</v>
      </c>
      <c r="V8" s="14" t="str">
        <f ca="1">IFERROR(__xludf.DUMMYFUNCTION("""COMPUTED_VALUE"""),"2610, 2650")</f>
        <v>2610, 2650</v>
      </c>
      <c r="W8" s="14">
        <f ca="1">IFERROR(__xludf.DUMMYFUNCTION("""COMPUTED_VALUE"""),11)</f>
        <v>11</v>
      </c>
      <c r="X8" s="14" t="str">
        <f ca="1">IFERROR(__xludf.DUMMYFUNCTION("""COMPUTED_VALUE"""),"2620, 2610, 2300, 2970, 2500")</f>
        <v>2620, 2610, 2300, 2970, 2500</v>
      </c>
      <c r="Y8" s="14" t="str">
        <f ca="1">IFERROR(__xludf.DUMMYFUNCTION("""COMPUTED_VALUE"""),"ja")</f>
        <v>ja</v>
      </c>
      <c r="Z8" s="14"/>
      <c r="AA8" s="16"/>
      <c r="AB8" s="14" t="str">
        <f ca="1">IFERROR(__xludf.DUMMYFUNCTION("""COMPUTED_VALUE"""),"x")</f>
        <v>x</v>
      </c>
      <c r="AC8" s="14" t="str">
        <f ca="1">IFERROR(__xludf.DUMMYFUNCTION("""COMPUTED_VALUE"""),"x")</f>
        <v>x</v>
      </c>
    </row>
    <row r="9" spans="1:30" ht="15.75" customHeight="1" x14ac:dyDescent="0.25">
      <c r="A9" s="14" t="str">
        <f ca="1">IFERROR(__xludf.DUMMYFUNCTION("""COMPUTED_VALUE"""),"Camilla")</f>
        <v>Camilla</v>
      </c>
      <c r="B9" s="14" t="str">
        <f ca="1">IFERROR(__xludf.DUMMYFUNCTION("""COMPUTED_VALUE"""),"Realmæglerne Taastrup")</f>
        <v>Realmæglerne Taastrup</v>
      </c>
      <c r="C9" s="14">
        <f ca="1">IFERROR(__xludf.DUMMYFUNCTION("""COMPUTED_VALUE"""),42787345)</f>
        <v>42787345</v>
      </c>
      <c r="D9" s="14" t="str">
        <f ca="1">IFERROR(__xludf.DUMMYFUNCTION("""COMPUTED_VALUE"""),"MG-SJ: 3.499,-")</f>
        <v>MG-SJ: 3.499,-</v>
      </c>
      <c r="E9" s="14">
        <f ca="1">IFERROR(__xludf.DUMMYFUNCTION("""COMPUTED_VALUE"""),1202)</f>
        <v>1202</v>
      </c>
      <c r="F9" s="14" t="str">
        <f ca="1">IFERROR(__xludf.DUMMYFUNCTION("""COMPUTED_VALUE"""),"Melike")</f>
        <v>Melike</v>
      </c>
      <c r="G9" s="14" t="str">
        <f ca="1">IFERROR(__xludf.DUMMYFUNCTION("""COMPUTED_VALUE"""),"melike@mailreal.dk")</f>
        <v>melike@mailreal.dk</v>
      </c>
      <c r="H9" s="14" t="str">
        <f ca="1">IFERROR(__xludf.DUMMYFUNCTION("""COMPUTED_VALUE"""),"5360 9058")</f>
        <v>5360 9058</v>
      </c>
      <c r="I9" s="14" t="str">
        <f ca="1">IFERROR(__xludf.DUMMYFUNCTION("""COMPUTED_VALUE"""),"Taastrup Hovedgade 50")</f>
        <v>Taastrup Hovedgade 50</v>
      </c>
      <c r="J9" s="14">
        <f ca="1">IFERROR(__xludf.DUMMYFUNCTION("""COMPUTED_VALUE"""),2630)</f>
        <v>2630</v>
      </c>
      <c r="K9" s="14" t="str">
        <f ca="1">IFERROR(__xludf.DUMMYFUNCTION("""COMPUTED_VALUE"""),"Taastrup")</f>
        <v>Taastrup</v>
      </c>
      <c r="L9" s="14" t="str">
        <f ca="1">IFERROR(__xludf.DUMMYFUNCTION("""COMPUTED_VALUE"""),"Høje-Taastrup")</f>
        <v>Høje-Taastrup</v>
      </c>
      <c r="M9" s="14" t="str">
        <f ca="1">IFERROR(__xludf.DUMMYFUNCTION("""COMPUTED_VALUE"""),"Københavns omegn")</f>
        <v>Københavns omegn</v>
      </c>
      <c r="N9" s="14" t="str">
        <f ca="1">IFERROR(__xludf.DUMMYFUNCTION("""COMPUTED_VALUE"""),"Hovedstaden")</f>
        <v>Hovedstaden</v>
      </c>
      <c r="O9" s="14" t="str">
        <f ca="1">IFERROR(__xludf.DUMMYFUNCTION("""COMPUTED_VALUE"""),"5360 9058")</f>
        <v>5360 9058</v>
      </c>
      <c r="P9" s="14" t="str">
        <f ca="1">IFERROR(__xludf.DUMMYFUNCTION("""COMPUTED_VALUE"""),"2630@mailreal.dk")</f>
        <v>2630@mailreal.dk</v>
      </c>
      <c r="Q9" s="15" t="str">
        <f ca="1">IFERROR(__xludf.DUMMYFUNCTION("""COMPUTED_VALUE"""),"https://www.boliga.dk/maegler/29022")</f>
        <v>https://www.boliga.dk/maegler/29022</v>
      </c>
      <c r="R9" s="14" t="str">
        <f ca="1">IFERROR(__xludf.DUMMYFUNCTION("""COMPUTED_VALUE"""),"-")</f>
        <v>-</v>
      </c>
      <c r="S9" s="18" t="str">
        <f ca="1">IFERROR(__xludf.DUMMYFUNCTION("""COMPUTED_VALUE"""),"-")</f>
        <v>-</v>
      </c>
      <c r="T9" s="18" t="str">
        <f ca="1">IFERROR(__xludf.DUMMYFUNCTION("""COMPUTED_VALUE"""),"-")</f>
        <v>-</v>
      </c>
      <c r="U9" s="14">
        <f ca="1">IFERROR(__xludf.DUMMYFUNCTION("""COMPUTED_VALUE"""),4)</f>
        <v>4</v>
      </c>
      <c r="V9" s="14" t="str">
        <f ca="1">IFERROR(__xludf.DUMMYFUNCTION("""COMPUTED_VALUE"""),"2650, 2630, 4140")</f>
        <v>2650, 2630, 4140</v>
      </c>
      <c r="W9" s="14">
        <f ca="1">IFERROR(__xludf.DUMMYFUNCTION("""COMPUTED_VALUE"""),1)</f>
        <v>1</v>
      </c>
      <c r="X9" s="14" t="str">
        <f ca="1">IFERROR(__xludf.DUMMYFUNCTION("""COMPUTED_VALUE"""),"2620, 2630, 2625")</f>
        <v>2620, 2630, 2625</v>
      </c>
      <c r="Y9" s="14" t="str">
        <f ca="1">IFERROR(__xludf.DUMMYFUNCTION("""COMPUTED_VALUE"""),"ja")</f>
        <v>ja</v>
      </c>
      <c r="Z9" s="14" t="str">
        <f ca="1">IFERROR(__xludf.DUMMYFUNCTION("""COMPUTED_VALUE"""),"Helt ny butik så alt er nulstillet. Hun ved ikke om det så rent statistisk set vil gavne hende")</f>
        <v>Helt ny butik så alt er nulstillet. Hun ved ikke om det så rent statistisk set vil gavne hende</v>
      </c>
      <c r="AA9" s="16"/>
      <c r="AB9" s="14" t="str">
        <f ca="1">IFERROR(__xludf.DUMMYFUNCTION("""COMPUTED_VALUE"""),"x")</f>
        <v>x</v>
      </c>
      <c r="AC9" s="14" t="str">
        <f ca="1">IFERROR(__xludf.DUMMYFUNCTION("""COMPUTED_VALUE"""),"x")</f>
        <v>x</v>
      </c>
    </row>
    <row r="10" spans="1:30" ht="15.75" customHeight="1" x14ac:dyDescent="0.25">
      <c r="A10" s="14" t="str">
        <f ca="1">IFERROR(__xludf.DUMMYFUNCTION("""COMPUTED_VALUE"""),"Camilla")</f>
        <v>Camilla</v>
      </c>
      <c r="B10" s="14" t="str">
        <f ca="1">IFERROR(__xludf.DUMMYFUNCTION("""COMPUTED_VALUE"""),"RealMæglerne Charles Andersen")</f>
        <v>RealMæglerne Charles Andersen</v>
      </c>
      <c r="C10" s="14">
        <f ca="1">IFERROR(__xludf.DUMMYFUNCTION("""COMPUTED_VALUE"""),18316587)</f>
        <v>18316587</v>
      </c>
      <c r="D10" s="14" t="str">
        <f ca="1">IFERROR(__xludf.DUMMYFUNCTION("""COMPUTED_VALUE"""),"MG-SJ: 3.499,-")</f>
        <v>MG-SJ: 3.499,-</v>
      </c>
      <c r="E10" s="14">
        <f ca="1">IFERROR(__xludf.DUMMYFUNCTION("""COMPUTED_VALUE"""),1202)</f>
        <v>1202</v>
      </c>
      <c r="F10" s="14" t="str">
        <f ca="1">IFERROR(__xludf.DUMMYFUNCTION("""COMPUTED_VALUE"""),"Mads Kilde")</f>
        <v>Mads Kilde</v>
      </c>
      <c r="G10" s="14" t="str">
        <f ca="1">IFERROR(__xludf.DUMMYFUNCTION("""COMPUTED_VALUE"""),"mads@mailreal.dk")</f>
        <v>mads@mailreal.dk</v>
      </c>
      <c r="H10" s="14" t="str">
        <f ca="1">IFERROR(__xludf.DUMMYFUNCTION("""COMPUTED_VALUE"""),"3678 2274")</f>
        <v>3678 2274</v>
      </c>
      <c r="I10" s="14" t="str">
        <f ca="1">IFERROR(__xludf.DUMMYFUNCTION("""COMPUTED_VALUE"""),"Menelaos Boulevard 71")</f>
        <v>Menelaos Boulevard 71</v>
      </c>
      <c r="J10" s="14">
        <f ca="1">IFERROR(__xludf.DUMMYFUNCTION("""COMPUTED_VALUE"""),2650)</f>
        <v>2650</v>
      </c>
      <c r="K10" s="14" t="str">
        <f ca="1">IFERROR(__xludf.DUMMYFUNCTION("""COMPUTED_VALUE"""),"Hvidovre")</f>
        <v>Hvidovre</v>
      </c>
      <c r="L10" s="14" t="str">
        <f ca="1">IFERROR(__xludf.DUMMYFUNCTION("""COMPUTED_VALUE"""),"Hvidovre")</f>
        <v>Hvidovre</v>
      </c>
      <c r="M10" s="14" t="str">
        <f ca="1">IFERROR(__xludf.DUMMYFUNCTION("""COMPUTED_VALUE"""),"Københavns omegn")</f>
        <v>Københavns omegn</v>
      </c>
      <c r="N10" s="14" t="str">
        <f ca="1">IFERROR(__xludf.DUMMYFUNCTION("""COMPUTED_VALUE"""),"Hovedstaden")</f>
        <v>Hovedstaden</v>
      </c>
      <c r="O10" s="14">
        <f ca="1">IFERROR(__xludf.DUMMYFUNCTION("""COMPUTED_VALUE"""),36782274)</f>
        <v>36782274</v>
      </c>
      <c r="P10" s="14" t="str">
        <f ca="1">IFERROR(__xludf.DUMMYFUNCTION("""COMPUTED_VALUE"""),"2650@mailreal.dk")</f>
        <v>2650@mailreal.dk</v>
      </c>
      <c r="Q10" s="15" t="str">
        <f ca="1">IFERROR(__xludf.DUMMYFUNCTION("""COMPUTED_VALUE"""),"https://www.boliga.dk/maegler/619")</f>
        <v>https://www.boliga.dk/maegler/619</v>
      </c>
      <c r="R10" s="14" t="str">
        <f ca="1">IFERROR(__xludf.DUMMYFUNCTION("""COMPUTED_VALUE"""),"-")</f>
        <v>-</v>
      </c>
      <c r="S10" s="18" t="str">
        <f ca="1">IFERROR(__xludf.DUMMYFUNCTION("""COMPUTED_VALUE"""),"-")</f>
        <v>-</v>
      </c>
      <c r="T10" s="18" t="str">
        <f ca="1">IFERROR(__xludf.DUMMYFUNCTION("""COMPUTED_VALUE"""),"-")</f>
        <v>-</v>
      </c>
      <c r="U10" s="14">
        <f ca="1">IFERROR(__xludf.DUMMYFUNCTION("""COMPUTED_VALUE"""),6)</f>
        <v>6</v>
      </c>
      <c r="V10" s="14" t="str">
        <f ca="1">IFERROR(__xludf.DUMMYFUNCTION("""COMPUTED_VALUE"""),"2650, 2500, 2860")</f>
        <v>2650, 2500, 2860</v>
      </c>
      <c r="W10" s="14">
        <f ca="1">IFERROR(__xludf.DUMMYFUNCTION("""COMPUTED_VALUE"""),11)</f>
        <v>11</v>
      </c>
      <c r="X10" s="14" t="str">
        <f ca="1">IFERROR(__xludf.DUMMYFUNCTION("""COMPUTED_VALUE"""),"2650, 2000, 2640")</f>
        <v>2650, 2000, 2640</v>
      </c>
      <c r="Y10" s="14" t="str">
        <f ca="1">IFERROR(__xludf.DUMMYFUNCTION("""COMPUTED_VALUE"""),"ja")</f>
        <v>ja</v>
      </c>
      <c r="Z10" s="14"/>
      <c r="AA10" s="16"/>
      <c r="AB10" s="14" t="str">
        <f ca="1">IFERROR(__xludf.DUMMYFUNCTION("""COMPUTED_VALUE"""),"x")</f>
        <v>x</v>
      </c>
      <c r="AC10" s="14" t="str">
        <f ca="1">IFERROR(__xludf.DUMMYFUNCTION("""COMPUTED_VALUE"""),"x")</f>
        <v>x</v>
      </c>
    </row>
    <row r="11" spans="1:30" ht="15.75" customHeight="1" x14ac:dyDescent="0.25">
      <c r="A11" s="14" t="str">
        <f ca="1">IFERROR(__xludf.DUMMYFUNCTION("""COMPUTED_VALUE"""),"Camilla")</f>
        <v>Camilla</v>
      </c>
      <c r="B11" s="14" t="str">
        <f ca="1">IFERROR(__xludf.DUMMYFUNCTION("""COMPUTED_VALUE"""),"RealMæglerne Vallensbæk ApS")</f>
        <v>RealMæglerne Vallensbæk ApS</v>
      </c>
      <c r="C11" s="14">
        <f ca="1">IFERROR(__xludf.DUMMYFUNCTION("""COMPUTED_VALUE"""),34456674)</f>
        <v>34456674</v>
      </c>
      <c r="D11" s="14" t="str">
        <f ca="1">IFERROR(__xludf.DUMMYFUNCTION("""COMPUTED_VALUE"""),"MG-SJ: 3.499,-")</f>
        <v>MG-SJ: 3.499,-</v>
      </c>
      <c r="E11" s="14">
        <f ca="1">IFERROR(__xludf.DUMMYFUNCTION("""COMPUTED_VALUE"""),1202)</f>
        <v>1202</v>
      </c>
      <c r="F11" s="14" t="str">
        <f ca="1">IFERROR(__xludf.DUMMYFUNCTION("""COMPUTED_VALUE"""),"Anders Nedahl")</f>
        <v>Anders Nedahl</v>
      </c>
      <c r="G11" s="14" t="str">
        <f ca="1">IFERROR(__xludf.DUMMYFUNCTION("""COMPUTED_VALUE"""),"nedahl@mailreal.dk")</f>
        <v>nedahl@mailreal.dk</v>
      </c>
      <c r="H11" s="14" t="str">
        <f ca="1">IFERROR(__xludf.DUMMYFUNCTION("""COMPUTED_VALUE"""),"4187 9020")</f>
        <v>4187 9020</v>
      </c>
      <c r="I11" s="14" t="str">
        <f ca="1">IFERROR(__xludf.DUMMYFUNCTION("""COMPUTED_VALUE"""),"Vallensbæk Stationstorv 1")</f>
        <v>Vallensbæk Stationstorv 1</v>
      </c>
      <c r="J11" s="14">
        <f ca="1">IFERROR(__xludf.DUMMYFUNCTION("""COMPUTED_VALUE"""),2665)</f>
        <v>2665</v>
      </c>
      <c r="K11" s="14" t="str">
        <f ca="1">IFERROR(__xludf.DUMMYFUNCTION("""COMPUTED_VALUE"""),"Vallensbæk Str.")</f>
        <v>Vallensbæk Str.</v>
      </c>
      <c r="L11" s="14" t="str">
        <f ca="1">IFERROR(__xludf.DUMMYFUNCTION("""COMPUTED_VALUE"""),"Vallensbæk")</f>
        <v>Vallensbæk</v>
      </c>
      <c r="M11" s="14" t="str">
        <f ca="1">IFERROR(__xludf.DUMMYFUNCTION("""COMPUTED_VALUE"""),"Københavns omegn")</f>
        <v>Københavns omegn</v>
      </c>
      <c r="N11" s="14" t="str">
        <f ca="1">IFERROR(__xludf.DUMMYFUNCTION("""COMPUTED_VALUE"""),"Hovedstaden")</f>
        <v>Hovedstaden</v>
      </c>
      <c r="O11" s="14">
        <f ca="1">IFERROR(__xludf.DUMMYFUNCTION("""COMPUTED_VALUE"""),41879020)</f>
        <v>41879020</v>
      </c>
      <c r="P11" s="14" t="str">
        <f ca="1">IFERROR(__xludf.DUMMYFUNCTION("""COMPUTED_VALUE"""),"vallensbaek@mailreal.dk")</f>
        <v>vallensbaek@mailreal.dk</v>
      </c>
      <c r="Q11" s="15" t="str">
        <f ca="1">IFERROR(__xludf.DUMMYFUNCTION("""COMPUTED_VALUE"""),"https://www.boliga.dk/maegler/24047")</f>
        <v>https://www.boliga.dk/maegler/24047</v>
      </c>
      <c r="R11" s="14" t="str">
        <f ca="1">IFERROR(__xludf.DUMMYFUNCTION("""COMPUTED_VALUE"""),"-")</f>
        <v>-</v>
      </c>
      <c r="S11" s="18" t="str">
        <f ca="1">IFERROR(__xludf.DUMMYFUNCTION("""COMPUTED_VALUE"""),"-")</f>
        <v>-</v>
      </c>
      <c r="T11" s="14" t="str">
        <f ca="1">IFERROR(__xludf.DUMMYFUNCTION("""COMPUTED_VALUE"""),"-")</f>
        <v>-</v>
      </c>
      <c r="U11" s="14">
        <f ca="1">IFERROR(__xludf.DUMMYFUNCTION("""COMPUTED_VALUE"""),8)</f>
        <v>8</v>
      </c>
      <c r="V11" s="14" t="str">
        <f ca="1">IFERROR(__xludf.DUMMYFUNCTION("""COMPUTED_VALUE"""),"2625, 2605, 2660, 2635, 2665")</f>
        <v>2625, 2605, 2660, 2635, 2665</v>
      </c>
      <c r="W11" s="14">
        <f ca="1">IFERROR(__xludf.DUMMYFUNCTION("""COMPUTED_VALUE"""),17)</f>
        <v>17</v>
      </c>
      <c r="X11" s="14" t="str">
        <f ca="1">IFERROR(__xludf.DUMMYFUNCTION("""COMPUTED_VALUE"""),"2605, 2625, 2635, 2620, 2660, 2665")</f>
        <v>2605, 2625, 2635, 2620, 2660, 2665</v>
      </c>
      <c r="Y11" s="14" t="str">
        <f ca="1">IFERROR(__xludf.DUMMYFUNCTION("""COMPUTED_VALUE"""),"ja")</f>
        <v>ja</v>
      </c>
      <c r="Z11" s="14"/>
      <c r="AA11" s="16"/>
      <c r="AB11" s="14" t="str">
        <f ca="1">IFERROR(__xludf.DUMMYFUNCTION("""COMPUTED_VALUE"""),"x")</f>
        <v>x</v>
      </c>
      <c r="AC11" s="14" t="str">
        <f ca="1">IFERROR(__xludf.DUMMYFUNCTION("""COMPUTED_VALUE"""),"x")</f>
        <v>x</v>
      </c>
    </row>
    <row r="12" spans="1:30" ht="15.75" customHeight="1" x14ac:dyDescent="0.25">
      <c r="A12" s="14" t="str">
        <f ca="1">IFERROR(__xludf.DUMMYFUNCTION("""COMPUTED_VALUE"""),"Camilla")</f>
        <v>Camilla</v>
      </c>
      <c r="B12" s="14" t="str">
        <f ca="1">IFERROR(__xludf.DUMMYFUNCTION("""COMPUTED_VALUE"""),"RealMæglerne Greve &amp; Solrød ApS")</f>
        <v>RealMæglerne Greve &amp; Solrød ApS</v>
      </c>
      <c r="C12" s="14">
        <f ca="1">IFERROR(__xludf.DUMMYFUNCTION("""COMPUTED_VALUE"""),36489405)</f>
        <v>36489405</v>
      </c>
      <c r="D12" s="14" t="str">
        <f ca="1">IFERROR(__xludf.DUMMYFUNCTION("""COMPUTED_VALUE"""),"MG-SJ: 3.499,-")</f>
        <v>MG-SJ: 3.499,-</v>
      </c>
      <c r="E12" s="14">
        <f ca="1">IFERROR(__xludf.DUMMYFUNCTION("""COMPUTED_VALUE"""),1202)</f>
        <v>1202</v>
      </c>
      <c r="F12" s="14" t="str">
        <f ca="1">IFERROR(__xludf.DUMMYFUNCTION("""COMPUTED_VALUE"""),"Lars Højer")</f>
        <v>Lars Højer</v>
      </c>
      <c r="G12" s="14" t="str">
        <f ca="1">IFERROR(__xludf.DUMMYFUNCTION("""COMPUTED_VALUE"""),"lah@mailreal.dk")</f>
        <v>lah@mailreal.dk</v>
      </c>
      <c r="H12" s="14" t="str">
        <f ca="1">IFERROR(__xludf.DUMMYFUNCTION("""COMPUTED_VALUE""")," 2083 8537")</f>
        <v xml:space="preserve"> 2083 8537</v>
      </c>
      <c r="I12" s="14" t="str">
        <f ca="1">IFERROR(__xludf.DUMMYFUNCTION("""COMPUTED_VALUE"""),"Spurvevej 1, st")</f>
        <v>Spurvevej 1, st</v>
      </c>
      <c r="J12" s="14">
        <f ca="1">IFERROR(__xludf.DUMMYFUNCTION("""COMPUTED_VALUE"""),2680)</f>
        <v>2680</v>
      </c>
      <c r="K12" s="14" t="str">
        <f ca="1">IFERROR(__xludf.DUMMYFUNCTION("""COMPUTED_VALUE"""),"Solrød Strand")</f>
        <v>Solrød Strand</v>
      </c>
      <c r="L12" s="14" t="str">
        <f ca="1">IFERROR(__xludf.DUMMYFUNCTION("""COMPUTED_VALUE"""),"Solrød Strand")</f>
        <v>Solrød Strand</v>
      </c>
      <c r="M12" s="14" t="str">
        <f ca="1">IFERROR(__xludf.DUMMYFUNCTION("""COMPUTED_VALUE"""),"Østsjælland")</f>
        <v>Østsjælland</v>
      </c>
      <c r="N12" s="14" t="str">
        <f ca="1">IFERROR(__xludf.DUMMYFUNCTION("""COMPUTED_VALUE"""),"Sjælland")</f>
        <v>Sjælland</v>
      </c>
      <c r="O12" s="14" t="str">
        <f ca="1">IFERROR(__xludf.DUMMYFUNCTION("""COMPUTED_VALUE"""),"5679 1505")</f>
        <v>5679 1505</v>
      </c>
      <c r="P12" s="14" t="str">
        <f ca="1">IFERROR(__xludf.DUMMYFUNCTION("""COMPUTED_VALUE"""),"2680@mailreal.dk")</f>
        <v>2680@mailreal.dk</v>
      </c>
      <c r="Q12" s="15" t="str">
        <f ca="1">IFERROR(__xludf.DUMMYFUNCTION("""COMPUTED_VALUE"""),"https://www.boliga.dk/maegler/18434")</f>
        <v>https://www.boliga.dk/maegler/18434</v>
      </c>
      <c r="R12" s="14" t="str">
        <f ca="1">IFERROR(__xludf.DUMMYFUNCTION("""COMPUTED_VALUE"""),"-")</f>
        <v>-</v>
      </c>
      <c r="S12" s="18" t="str">
        <f ca="1">IFERROR(__xludf.DUMMYFUNCTION("""COMPUTED_VALUE"""),"-")</f>
        <v>-</v>
      </c>
      <c r="T12" s="14" t="str">
        <f ca="1">IFERROR(__xludf.DUMMYFUNCTION("""COMPUTED_VALUE"""),"-")</f>
        <v>-</v>
      </c>
      <c r="U12" s="14">
        <f ca="1">IFERROR(__xludf.DUMMYFUNCTION("""COMPUTED_VALUE"""),14)</f>
        <v>14</v>
      </c>
      <c r="V12" s="14" t="str">
        <f ca="1">IFERROR(__xludf.DUMMYFUNCTION("""COMPUTED_VALUE"""),"4621, 2670, 4683, 2680, 2690, 4690")</f>
        <v>4621, 2670, 4683, 2680, 2690, 4690</v>
      </c>
      <c r="W12" s="14">
        <f ca="1">IFERROR(__xludf.DUMMYFUNCTION("""COMPUTED_VALUE"""),15)</f>
        <v>15</v>
      </c>
      <c r="X12" s="14" t="str">
        <f ca="1">IFERROR(__xludf.DUMMYFUNCTION("""COMPUTED_VALUE"""),"2640, 2635, 2680, 2670, 2690, 4600")</f>
        <v>2640, 2635, 2680, 2670, 2690, 4600</v>
      </c>
      <c r="Y12" s="14" t="str">
        <f ca="1">IFERROR(__xludf.DUMMYFUNCTION("""COMPUTED_VALUE"""),"ja")</f>
        <v>ja</v>
      </c>
      <c r="Z12" s="14" t="str">
        <f ca="1">IFERROR(__xludf.DUMMYFUNCTION("""COMPUTED_VALUE"""),"Fan af Boliga")</f>
        <v>Fan af Boliga</v>
      </c>
      <c r="AA12" s="16"/>
      <c r="AB12" s="14" t="str">
        <f ca="1">IFERROR(__xludf.DUMMYFUNCTION("""COMPUTED_VALUE"""),"x")</f>
        <v>x</v>
      </c>
      <c r="AC12" s="14" t="str">
        <f ca="1">IFERROR(__xludf.DUMMYFUNCTION("""COMPUTED_VALUE"""),"x")</f>
        <v>x</v>
      </c>
    </row>
    <row r="13" spans="1:30" ht="15.75" customHeight="1" x14ac:dyDescent="0.25">
      <c r="A13" s="14" t="str">
        <f ca="1">IFERROR(__xludf.DUMMYFUNCTION("""COMPUTED_VALUE"""),"Camilla")</f>
        <v>Camilla</v>
      </c>
      <c r="B13" s="14" t="str">
        <f ca="1">IFERROR(__xludf.DUMMYFUNCTION("""COMPUTED_VALUE"""),"RealMæglerne Greve &amp; Solrød ApS")</f>
        <v>RealMæglerne Greve &amp; Solrød ApS</v>
      </c>
      <c r="C13" s="14">
        <f ca="1">IFERROR(__xludf.DUMMYFUNCTION("""COMPUTED_VALUE"""),36489405)</f>
        <v>36489405</v>
      </c>
      <c r="D13" s="14" t="str">
        <f ca="1">IFERROR(__xludf.DUMMYFUNCTION("""COMPUTED_VALUE"""),"MG-SJ: 3.499,-")</f>
        <v>MG-SJ: 3.499,-</v>
      </c>
      <c r="E13" s="14">
        <f ca="1">IFERROR(__xludf.DUMMYFUNCTION("""COMPUTED_VALUE"""),1202)</f>
        <v>1202</v>
      </c>
      <c r="F13" s="14" t="str">
        <f ca="1">IFERROR(__xludf.DUMMYFUNCTION("""COMPUTED_VALUE"""),"Lars Højer")</f>
        <v>Lars Højer</v>
      </c>
      <c r="G13" s="14" t="str">
        <f ca="1">IFERROR(__xludf.DUMMYFUNCTION("""COMPUTED_VALUE"""),"lah@mailreal.dk")</f>
        <v>lah@mailreal.dk</v>
      </c>
      <c r="H13" s="14" t="str">
        <f ca="1">IFERROR(__xludf.DUMMYFUNCTION("""COMPUTED_VALUE""")," 2083 8537")</f>
        <v xml:space="preserve"> 2083 8537</v>
      </c>
      <c r="I13" s="14" t="str">
        <f ca="1">IFERROR(__xludf.DUMMYFUNCTION("""COMPUTED_VALUE"""),"Greve Strandvej 18")</f>
        <v>Greve Strandvej 18</v>
      </c>
      <c r="J13" s="14">
        <f ca="1">IFERROR(__xludf.DUMMYFUNCTION("""COMPUTED_VALUE"""),2670)</f>
        <v>2670</v>
      </c>
      <c r="K13" s="14" t="str">
        <f ca="1">IFERROR(__xludf.DUMMYFUNCTION("""COMPUTED_VALUE"""),"Greve")</f>
        <v>Greve</v>
      </c>
      <c r="L13" s="14" t="str">
        <f ca="1">IFERROR(__xludf.DUMMYFUNCTION("""COMPUTED_VALUE"""),"Greve")</f>
        <v>Greve</v>
      </c>
      <c r="M13" s="14" t="str">
        <f ca="1">IFERROR(__xludf.DUMMYFUNCTION("""COMPUTED_VALUE"""),"Østsjælland")</f>
        <v>Østsjælland</v>
      </c>
      <c r="N13" s="14" t="str">
        <f ca="1">IFERROR(__xludf.DUMMYFUNCTION("""COMPUTED_VALUE"""),"Sjælland")</f>
        <v>Sjælland</v>
      </c>
      <c r="O13" s="14">
        <f ca="1">IFERROR(__xludf.DUMMYFUNCTION("""COMPUTED_VALUE"""),43900091)</f>
        <v>43900091</v>
      </c>
      <c r="P13" s="14" t="str">
        <f ca="1">IFERROR(__xludf.DUMMYFUNCTION("""COMPUTED_VALUE"""),"2670@mailreal.dk")</f>
        <v>2670@mailreal.dk</v>
      </c>
      <c r="Q13" s="15" t="str">
        <f ca="1">IFERROR(__xludf.DUMMYFUNCTION("""COMPUTED_VALUE"""),"https://www.boliga.dk/maegler/17695")</f>
        <v>https://www.boliga.dk/maegler/17695</v>
      </c>
      <c r="R13" s="14" t="str">
        <f ca="1">IFERROR(__xludf.DUMMYFUNCTION("""COMPUTED_VALUE"""),"-")</f>
        <v>-</v>
      </c>
      <c r="S13" s="18" t="str">
        <f ca="1">IFERROR(__xludf.DUMMYFUNCTION("""COMPUTED_VALUE"""),"-")</f>
        <v>-</v>
      </c>
      <c r="T13" s="14" t="str">
        <f ca="1">IFERROR(__xludf.DUMMYFUNCTION("""COMPUTED_VALUE"""),"-")</f>
        <v>-</v>
      </c>
      <c r="U13" s="14">
        <f ca="1">IFERROR(__xludf.DUMMYFUNCTION("""COMPUTED_VALUE"""),14)</f>
        <v>14</v>
      </c>
      <c r="V13" s="14" t="str">
        <f ca="1">IFERROR(__xludf.DUMMYFUNCTION("""COMPUTED_VALUE"""),"4621, 2670, 4683, 2680, 2690, 4690")</f>
        <v>4621, 2670, 4683, 2680, 2690, 4690</v>
      </c>
      <c r="W13" s="14">
        <f ca="1">IFERROR(__xludf.DUMMYFUNCTION("""COMPUTED_VALUE"""),15)</f>
        <v>15</v>
      </c>
      <c r="X13" s="14" t="str">
        <f ca="1">IFERROR(__xludf.DUMMYFUNCTION("""COMPUTED_VALUE"""),"2640, 2635, 2680, 2670, 2690, 4600")</f>
        <v>2640, 2635, 2680, 2670, 2690, 4600</v>
      </c>
      <c r="Y13" s="14" t="str">
        <f ca="1">IFERROR(__xludf.DUMMYFUNCTION("""COMPUTED_VALUE"""),"ja")</f>
        <v>ja</v>
      </c>
      <c r="Z13" s="14" t="str">
        <f ca="1">IFERROR(__xludf.DUMMYFUNCTION("""COMPUTED_VALUE"""),"Fan af Boliga")</f>
        <v>Fan af Boliga</v>
      </c>
      <c r="AA13" s="16"/>
      <c r="AB13" s="14" t="str">
        <f ca="1">IFERROR(__xludf.DUMMYFUNCTION("""COMPUTED_VALUE"""),"x")</f>
        <v>x</v>
      </c>
      <c r="AC13" s="14" t="str">
        <f ca="1">IFERROR(__xludf.DUMMYFUNCTION("""COMPUTED_VALUE"""),"x")</f>
        <v>x</v>
      </c>
    </row>
    <row r="14" spans="1:30" ht="15.75" customHeight="1" x14ac:dyDescent="0.25">
      <c r="A14" s="14" t="str">
        <f ca="1">IFERROR(__xludf.DUMMYFUNCTION("""COMPUTED_VALUE"""),"Camilla")</f>
        <v>Camilla</v>
      </c>
      <c r="B14" s="14" t="str">
        <f ca="1">IFERROR(__xludf.DUMMYFUNCTION("""COMPUTED_VALUE"""),"RealMæglerne Olesen &amp; Christensen ApS")</f>
        <v>RealMæglerne Olesen &amp; Christensen ApS</v>
      </c>
      <c r="C14" s="14">
        <f ca="1">IFERROR(__xludf.DUMMYFUNCTION("""COMPUTED_VALUE"""),31584523)</f>
        <v>31584523</v>
      </c>
      <c r="D14" s="14" t="str">
        <f ca="1">IFERROR(__xludf.DUMMYFUNCTION("""COMPUTED_VALUE"""),"MG-SJ: 3.499,-")</f>
        <v>MG-SJ: 3.499,-</v>
      </c>
      <c r="E14" s="14">
        <f ca="1">IFERROR(__xludf.DUMMYFUNCTION("""COMPUTED_VALUE"""),1202)</f>
        <v>1202</v>
      </c>
      <c r="F14" s="14" t="str">
        <f ca="1">IFERROR(__xludf.DUMMYFUNCTION("""COMPUTED_VALUE"""),"Martin Olesen")</f>
        <v>Martin Olesen</v>
      </c>
      <c r="G14" s="14" t="str">
        <f ca="1">IFERROR(__xludf.DUMMYFUNCTION("""COMPUTED_VALUE"""),"mao@mailreal.dk")</f>
        <v>mao@mailreal.dk</v>
      </c>
      <c r="H14" s="14" t="str">
        <f ca="1">IFERROR(__xludf.DUMMYFUNCTION("""COMPUTED_VALUE"""),"4074 8755")</f>
        <v>4074 8755</v>
      </c>
      <c r="I14" s="14" t="str">
        <f ca="1">IFERROR(__xludf.DUMMYFUNCTION("""COMPUTED_VALUE"""),"Ålekistevej 84")</f>
        <v>Ålekistevej 84</v>
      </c>
      <c r="J14" s="14">
        <f ca="1">IFERROR(__xludf.DUMMYFUNCTION("""COMPUTED_VALUE"""),2720)</f>
        <v>2720</v>
      </c>
      <c r="K14" s="14" t="str">
        <f ca="1">IFERROR(__xludf.DUMMYFUNCTION("""COMPUTED_VALUE"""),"Vanløse")</f>
        <v>Vanløse</v>
      </c>
      <c r="L14" s="14" t="str">
        <f ca="1">IFERROR(__xludf.DUMMYFUNCTION("""COMPUTED_VALUE"""),"København")</f>
        <v>København</v>
      </c>
      <c r="M14" s="14" t="str">
        <f ca="1">IFERROR(__xludf.DUMMYFUNCTION("""COMPUTED_VALUE"""),"København By")</f>
        <v>København By</v>
      </c>
      <c r="N14" s="14" t="str">
        <f ca="1">IFERROR(__xludf.DUMMYFUNCTION("""COMPUTED_VALUE"""),"Hovedstaden")</f>
        <v>Hovedstaden</v>
      </c>
      <c r="O14" s="14">
        <f ca="1">IFERROR(__xludf.DUMMYFUNCTION("""COMPUTED_VALUE"""),38742111)</f>
        <v>38742111</v>
      </c>
      <c r="P14" s="14" t="str">
        <f ca="1">IFERROR(__xludf.DUMMYFUNCTION("""COMPUTED_VALUE"""),"2720@mailreal.dk")</f>
        <v>2720@mailreal.dk</v>
      </c>
      <c r="Q14" s="15" t="str">
        <f ca="1">IFERROR(__xludf.DUMMYFUNCTION("""COMPUTED_VALUE"""),"https://www.boliga.dk/maegler/460")</f>
        <v>https://www.boliga.dk/maegler/460</v>
      </c>
      <c r="R14" s="14" t="str">
        <f ca="1">IFERROR(__xludf.DUMMYFUNCTION("""COMPUTED_VALUE"""),"-")</f>
        <v>-</v>
      </c>
      <c r="S14" s="18" t="str">
        <f ca="1">IFERROR(__xludf.DUMMYFUNCTION("""COMPUTED_VALUE"""),"-")</f>
        <v>-</v>
      </c>
      <c r="T14" s="14" t="str">
        <f ca="1">IFERROR(__xludf.DUMMYFUNCTION("""COMPUTED_VALUE"""),"-")</f>
        <v>-</v>
      </c>
      <c r="U14" s="14">
        <f ca="1">IFERROR(__xludf.DUMMYFUNCTION("""COMPUTED_VALUE"""),9)</f>
        <v>9</v>
      </c>
      <c r="V14" s="14" t="str">
        <f ca="1">IFERROR(__xludf.DUMMYFUNCTION("""COMPUTED_VALUE"""),"2720, 2200, 2300")</f>
        <v>2720, 2200, 2300</v>
      </c>
      <c r="W14" s="14">
        <f ca="1">IFERROR(__xludf.DUMMYFUNCTION("""COMPUTED_VALUE"""),13)</f>
        <v>13</v>
      </c>
      <c r="X14" s="14" t="str">
        <f ca="1">IFERROR(__xludf.DUMMYFUNCTION("""COMPUTED_VALUE"""),"2000, 2700, 2720")</f>
        <v>2000, 2700, 2720</v>
      </c>
      <c r="Y14" s="14" t="str">
        <f ca="1">IFERROR(__xludf.DUMMYFUNCTION("""COMPUTED_VALUE"""),"ja")</f>
        <v>ja</v>
      </c>
      <c r="Z14" s="14"/>
      <c r="AA14" s="16"/>
      <c r="AB14" s="14" t="str">
        <f ca="1">IFERROR(__xludf.DUMMYFUNCTION("""COMPUTED_VALUE"""),"x")</f>
        <v>x</v>
      </c>
      <c r="AC14" s="14" t="str">
        <f ca="1">IFERROR(__xludf.DUMMYFUNCTION("""COMPUTED_VALUE"""),"x")</f>
        <v>x</v>
      </c>
    </row>
    <row r="15" spans="1:30" ht="15.75" customHeight="1" x14ac:dyDescent="0.25">
      <c r="A15" s="14" t="str">
        <f ca="1">IFERROR(__xludf.DUMMYFUNCTION("""COMPUTED_VALUE"""),"Camilla")</f>
        <v>Camilla</v>
      </c>
      <c r="B15" s="14" t="str">
        <f ca="1">IFERROR(__xludf.DUMMYFUNCTION("""COMPUTED_VALUE"""),"RealMæglerne Ballerup Viggo Axelsen ApS")</f>
        <v>RealMæglerne Ballerup Viggo Axelsen ApS</v>
      </c>
      <c r="C15" s="14">
        <f ca="1">IFERROR(__xludf.DUMMYFUNCTION("""COMPUTED_VALUE"""),36053909)</f>
        <v>36053909</v>
      </c>
      <c r="D15" s="14" t="str">
        <f ca="1">IFERROR(__xludf.DUMMYFUNCTION("""COMPUTED_VALUE"""),"MG-SJ: 3.499,-")</f>
        <v>MG-SJ: 3.499,-</v>
      </c>
      <c r="E15" s="14">
        <f ca="1">IFERROR(__xludf.DUMMYFUNCTION("""COMPUTED_VALUE"""),1202)</f>
        <v>1202</v>
      </c>
      <c r="F15" s="14" t="str">
        <f ca="1">IFERROR(__xludf.DUMMYFUNCTION("""COMPUTED_VALUE"""),"Henrik Knudsen")</f>
        <v>Henrik Knudsen</v>
      </c>
      <c r="G15" s="14" t="str">
        <f ca="1">IFERROR(__xludf.DUMMYFUNCTION("""COMPUTED_VALUE"""),"hk@mailreal.dk")</f>
        <v>hk@mailreal.dk</v>
      </c>
      <c r="H15" s="14" t="str">
        <f ca="1">IFERROR(__xludf.DUMMYFUNCTION("""COMPUTED_VALUE""")," 3032 9921")</f>
        <v xml:space="preserve"> 3032 9921</v>
      </c>
      <c r="I15" s="14" t="str">
        <f ca="1">IFERROR(__xludf.DUMMYFUNCTION("""COMPUTED_VALUE"""),"Hold-An vej 87")</f>
        <v>Hold-An vej 87</v>
      </c>
      <c r="J15" s="14">
        <f ca="1">IFERROR(__xludf.DUMMYFUNCTION("""COMPUTED_VALUE"""),2750)</f>
        <v>2750</v>
      </c>
      <c r="K15" s="14" t="str">
        <f ca="1">IFERROR(__xludf.DUMMYFUNCTION("""COMPUTED_VALUE"""),"Ballerup")</f>
        <v>Ballerup</v>
      </c>
      <c r="L15" s="14" t="str">
        <f ca="1">IFERROR(__xludf.DUMMYFUNCTION("""COMPUTED_VALUE"""),"Ballerup")</f>
        <v>Ballerup</v>
      </c>
      <c r="M15" s="14" t="str">
        <f ca="1">IFERROR(__xludf.DUMMYFUNCTION("""COMPUTED_VALUE"""),"Københavns omegn")</f>
        <v>Københavns omegn</v>
      </c>
      <c r="N15" s="14" t="str">
        <f ca="1">IFERROR(__xludf.DUMMYFUNCTION("""COMPUTED_VALUE"""),"Hovedstaden")</f>
        <v>Hovedstaden</v>
      </c>
      <c r="O15" s="14">
        <f ca="1">IFERROR(__xludf.DUMMYFUNCTION("""COMPUTED_VALUE"""),44652000)</f>
        <v>44652000</v>
      </c>
      <c r="P15" s="14" t="str">
        <f ca="1">IFERROR(__xludf.DUMMYFUNCTION("""COMPUTED_VALUE"""),"2750@mailreal.dk")</f>
        <v>2750@mailreal.dk</v>
      </c>
      <c r="Q15" s="15" t="str">
        <f ca="1">IFERROR(__xludf.DUMMYFUNCTION("""COMPUTED_VALUE"""),"https://www.boliga.dk/maegler/18708")</f>
        <v>https://www.boliga.dk/maegler/18708</v>
      </c>
      <c r="R15" s="14" t="str">
        <f ca="1">IFERROR(__xludf.DUMMYFUNCTION("""COMPUTED_VALUE"""),"-")</f>
        <v>-</v>
      </c>
      <c r="S15" s="18" t="str">
        <f ca="1">IFERROR(__xludf.DUMMYFUNCTION("""COMPUTED_VALUE"""),"-")</f>
        <v>-</v>
      </c>
      <c r="T15" s="14" t="str">
        <f ca="1">IFERROR(__xludf.DUMMYFUNCTION("""COMPUTED_VALUE"""),"-")</f>
        <v>-</v>
      </c>
      <c r="U15" s="14">
        <f ca="1">IFERROR(__xludf.DUMMYFUNCTION("""COMPUTED_VALUE"""),8)</f>
        <v>8</v>
      </c>
      <c r="V15" s="14" t="str">
        <f ca="1">IFERROR(__xludf.DUMMYFUNCTION("""COMPUTED_VALUE"""),"2750, 2760, 2640, 2730")</f>
        <v>2750, 2760, 2640, 2730</v>
      </c>
      <c r="W15" s="14">
        <f ca="1">IFERROR(__xludf.DUMMYFUNCTION("""COMPUTED_VALUE"""),10)</f>
        <v>10</v>
      </c>
      <c r="X15" s="14" t="str">
        <f ca="1">IFERROR(__xludf.DUMMYFUNCTION("""COMPUTED_VALUE"""),"2760, 2750, 2635, 2630, 2730")</f>
        <v>2760, 2750, 2635, 2630, 2730</v>
      </c>
      <c r="Y15" s="14" t="str">
        <f ca="1">IFERROR(__xludf.DUMMYFUNCTION("""COMPUTED_VALUE"""),"ja")</f>
        <v>ja</v>
      </c>
      <c r="Z15" s="14" t="str">
        <f ca="1">IFERROR(__xludf.DUMMYFUNCTION("""COMPUTED_VALUE"""),"Henrik er ikke fan af leads, så han var næsten bare irriteret over at han ikke kan drive en forretning uden leads ")</f>
        <v xml:space="preserve">Henrik er ikke fan af leads, så han var næsten bare irriteret over at han ikke kan drive en forretning uden leads </v>
      </c>
      <c r="AA15" s="16"/>
      <c r="AB15" s="14" t="str">
        <f ca="1">IFERROR(__xludf.DUMMYFUNCTION("""COMPUTED_VALUE"""),"x")</f>
        <v>x</v>
      </c>
      <c r="AC15" s="14" t="str">
        <f ca="1">IFERROR(__xludf.DUMMYFUNCTION("""COMPUTED_VALUE"""),"x")</f>
        <v>x</v>
      </c>
    </row>
    <row r="16" spans="1:30" ht="15.75" customHeight="1" x14ac:dyDescent="0.25">
      <c r="A16" s="14" t="str">
        <f ca="1">IFERROR(__xludf.DUMMYFUNCTION("""COMPUTED_VALUE"""),"Camilla")</f>
        <v>Camilla</v>
      </c>
      <c r="B16" s="14" t="str">
        <f ca="1">IFERROR(__xludf.DUMMYFUNCTION("""COMPUTED_VALUE"""),"RealMæglerne Kastrup &amp; Tårnby ApS")</f>
        <v>RealMæglerne Kastrup &amp; Tårnby ApS</v>
      </c>
      <c r="C16" s="14">
        <f ca="1">IFERROR(__xludf.DUMMYFUNCTION("""COMPUTED_VALUE"""),38805568)</f>
        <v>38805568</v>
      </c>
      <c r="D16" s="14" t="str">
        <f ca="1">IFERROR(__xludf.DUMMYFUNCTION("""COMPUTED_VALUE"""),"MG-SJ: 3.499,-")</f>
        <v>MG-SJ: 3.499,-</v>
      </c>
      <c r="E16" s="14">
        <f ca="1">IFERROR(__xludf.DUMMYFUNCTION("""COMPUTED_VALUE"""),1202)</f>
        <v>1202</v>
      </c>
      <c r="F16" s="14" t="str">
        <f ca="1">IFERROR(__xludf.DUMMYFUNCTION("""COMPUTED_VALUE"""),"Dilsad Sahin")</f>
        <v>Dilsad Sahin</v>
      </c>
      <c r="G16" s="14" t="str">
        <f ca="1">IFERROR(__xludf.DUMMYFUNCTION("""COMPUTED_VALUE"""),"dilsad@mailreal.dk")</f>
        <v>dilsad@mailreal.dk</v>
      </c>
      <c r="H16" s="14">
        <f ca="1">IFERROR(__xludf.DUMMYFUNCTION("""COMPUTED_VALUE"""),24447376)</f>
        <v>24447376</v>
      </c>
      <c r="I16" s="14" t="str">
        <f ca="1">IFERROR(__xludf.DUMMYFUNCTION("""COMPUTED_VALUE"""),"Englandsvej 343")</f>
        <v>Englandsvej 343</v>
      </c>
      <c r="J16" s="14">
        <f ca="1">IFERROR(__xludf.DUMMYFUNCTION("""COMPUTED_VALUE"""),2770)</f>
        <v>2770</v>
      </c>
      <c r="K16" s="14" t="str">
        <f ca="1">IFERROR(__xludf.DUMMYFUNCTION("""COMPUTED_VALUE"""),"Kastrup")</f>
        <v>Kastrup</v>
      </c>
      <c r="L16" s="14" t="str">
        <f ca="1">IFERROR(__xludf.DUMMYFUNCTION("""COMPUTED_VALUE"""),"Tårnby")</f>
        <v>Tårnby</v>
      </c>
      <c r="M16" s="14" t="str">
        <f ca="1">IFERROR(__xludf.DUMMYFUNCTION("""COMPUTED_VALUE"""),"København By")</f>
        <v>København By</v>
      </c>
      <c r="N16" s="14" t="str">
        <f ca="1">IFERROR(__xludf.DUMMYFUNCTION("""COMPUTED_VALUE"""),"Hovedstaden")</f>
        <v>Hovedstaden</v>
      </c>
      <c r="O16" s="14">
        <f ca="1">IFERROR(__xludf.DUMMYFUNCTION("""COMPUTED_VALUE"""),32572211)</f>
        <v>32572211</v>
      </c>
      <c r="P16" s="14" t="str">
        <f ca="1">IFERROR(__xludf.DUMMYFUNCTION("""COMPUTED_VALUE"""),"amager@mailreal.dk")</f>
        <v>amager@mailreal.dk</v>
      </c>
      <c r="Q16" s="15" t="str">
        <f ca="1">IFERROR(__xludf.DUMMYFUNCTION("""COMPUTED_VALUE"""),"https://www.boliga.dk/maegler/17674")</f>
        <v>https://www.boliga.dk/maegler/17674</v>
      </c>
      <c r="R16" s="14" t="str">
        <f ca="1">IFERROR(__xludf.DUMMYFUNCTION("""COMPUTED_VALUE"""),"-")</f>
        <v>-</v>
      </c>
      <c r="S16" s="18" t="str">
        <f ca="1">IFERROR(__xludf.DUMMYFUNCTION("""COMPUTED_VALUE"""),"-")</f>
        <v>-</v>
      </c>
      <c r="T16" s="14" t="str">
        <f ca="1">IFERROR(__xludf.DUMMYFUNCTION("""COMPUTED_VALUE"""),"-")</f>
        <v>-</v>
      </c>
      <c r="U16" s="14">
        <f ca="1">IFERROR(__xludf.DUMMYFUNCTION("""COMPUTED_VALUE"""),11)</f>
        <v>11</v>
      </c>
      <c r="V16" s="14" t="str">
        <f ca="1">IFERROR(__xludf.DUMMYFUNCTION("""COMPUTED_VALUE"""),"2791, 2770")</f>
        <v>2791, 2770</v>
      </c>
      <c r="W16" s="14">
        <f ca="1">IFERROR(__xludf.DUMMYFUNCTION("""COMPUTED_VALUE"""),13)</f>
        <v>13</v>
      </c>
      <c r="X16" s="14" t="str">
        <f ca="1">IFERROR(__xludf.DUMMYFUNCTION("""COMPUTED_VALUE"""),"2791, 2770")</f>
        <v>2791, 2770</v>
      </c>
      <c r="Y16" s="14" t="str">
        <f ca="1">IFERROR(__xludf.DUMMYFUNCTION("""COMPUTED_VALUE"""),"ja")</f>
        <v>ja</v>
      </c>
      <c r="Z16" s="14"/>
      <c r="AA16" s="16"/>
      <c r="AB16" s="14" t="str">
        <f ca="1">IFERROR(__xludf.DUMMYFUNCTION("""COMPUTED_VALUE"""),"x")</f>
        <v>x</v>
      </c>
      <c r="AC16" s="14" t="str">
        <f ca="1">IFERROR(__xludf.DUMMYFUNCTION("""COMPUTED_VALUE"""),"x")</f>
        <v>x</v>
      </c>
    </row>
    <row r="17" spans="1:29" ht="15.75" customHeight="1" x14ac:dyDescent="0.25">
      <c r="A17" s="14" t="str">
        <f ca="1">IFERROR(__xludf.DUMMYFUNCTION("""COMPUTED_VALUE"""),"Camilla")</f>
        <v>Camilla</v>
      </c>
      <c r="B17" s="14" t="str">
        <f ca="1">IFERROR(__xludf.DUMMYFUNCTION("""COMPUTED_VALUE"""),"RealMæglerne Søborg og Dyssegård")</f>
        <v>RealMæglerne Søborg og Dyssegård</v>
      </c>
      <c r="C17" s="14">
        <f ca="1">IFERROR(__xludf.DUMMYFUNCTION("""COMPUTED_VALUE"""),35048839)</f>
        <v>35048839</v>
      </c>
      <c r="D17" s="14" t="str">
        <f ca="1">IFERROR(__xludf.DUMMYFUNCTION("""COMPUTED_VALUE"""),"MG-SJ: 3.499,-")</f>
        <v>MG-SJ: 3.499,-</v>
      </c>
      <c r="E17" s="14">
        <f ca="1">IFERROR(__xludf.DUMMYFUNCTION("""COMPUTED_VALUE"""),1202)</f>
        <v>1202</v>
      </c>
      <c r="F17" s="14" t="str">
        <f ca="1">IFERROR(__xludf.DUMMYFUNCTION("""COMPUTED_VALUE"""),"Philip Christiansen ")</f>
        <v xml:space="preserve">Philip Christiansen </v>
      </c>
      <c r="G17" s="14" t="str">
        <f ca="1">IFERROR(__xludf.DUMMYFUNCTION("""COMPUTED_VALUE"""),"phc@mailreal.dk")</f>
        <v>phc@mailreal.dk</v>
      </c>
      <c r="H17" s="14" t="str">
        <f ca="1">IFERROR(__xludf.DUMMYFUNCTION("""COMPUTED_VALUE"""),"2288 0223")</f>
        <v>2288 0223</v>
      </c>
      <c r="I17" s="14" t="str">
        <f ca="1">IFERROR(__xludf.DUMMYFUNCTION("""COMPUTED_VALUE"""),"Søborg Hovedgade 18")</f>
        <v>Søborg Hovedgade 18</v>
      </c>
      <c r="J17" s="14">
        <f ca="1">IFERROR(__xludf.DUMMYFUNCTION("""COMPUTED_VALUE"""),2870)</f>
        <v>2870</v>
      </c>
      <c r="K17" s="14" t="str">
        <f ca="1">IFERROR(__xludf.DUMMYFUNCTION("""COMPUTED_VALUE"""),"Dyssegård")</f>
        <v>Dyssegård</v>
      </c>
      <c r="L17" s="14" t="str">
        <f ca="1">IFERROR(__xludf.DUMMYFUNCTION("""COMPUTED_VALUE"""),"Gentofte")</f>
        <v>Gentofte</v>
      </c>
      <c r="M17" s="14" t="str">
        <f ca="1">IFERROR(__xludf.DUMMYFUNCTION("""COMPUTED_VALUE"""),"Københavns omegn")</f>
        <v>Københavns omegn</v>
      </c>
      <c r="N17" s="14" t="str">
        <f ca="1">IFERROR(__xludf.DUMMYFUNCTION("""COMPUTED_VALUE"""),"Hovedstaden")</f>
        <v>Hovedstaden</v>
      </c>
      <c r="O17" s="14">
        <f ca="1">IFERROR(__xludf.DUMMYFUNCTION("""COMPUTED_VALUE"""),39400100)</f>
        <v>39400100</v>
      </c>
      <c r="P17" s="14" t="str">
        <f ca="1">IFERROR(__xludf.DUMMYFUNCTION("""COMPUTED_VALUE"""),"soeborg@mailreal.dk")</f>
        <v>soeborg@mailreal.dk</v>
      </c>
      <c r="Q17" s="15" t="str">
        <f ca="1">IFERROR(__xludf.DUMMYFUNCTION("""COMPUTED_VALUE"""),"https://www.boliga.dk/maegler/18220")</f>
        <v>https://www.boliga.dk/maegler/18220</v>
      </c>
      <c r="R17" s="14" t="str">
        <f ca="1">IFERROR(__xludf.DUMMYFUNCTION("""COMPUTED_VALUE"""),"-")</f>
        <v>-</v>
      </c>
      <c r="S17" s="20" t="str">
        <f ca="1">IFERROR(__xludf.DUMMYFUNCTION("""COMPUTED_VALUE"""),"-")</f>
        <v>-</v>
      </c>
      <c r="T17" s="14" t="str">
        <f ca="1">IFERROR(__xludf.DUMMYFUNCTION("""COMPUTED_VALUE"""),"-")</f>
        <v>-</v>
      </c>
      <c r="U17" s="14">
        <f ca="1">IFERROR(__xludf.DUMMYFUNCTION("""COMPUTED_VALUE"""),11)</f>
        <v>11</v>
      </c>
      <c r="V17" s="14" t="str">
        <f ca="1">IFERROR(__xludf.DUMMYFUNCTION("""COMPUTED_VALUE"""),"2200, 2820, 2860, 2870, 3760, 4780")</f>
        <v>2200, 2820, 2860, 2870, 3760, 4780</v>
      </c>
      <c r="W17" s="14">
        <f ca="1">IFERROR(__xludf.DUMMYFUNCTION("""COMPUTED_VALUE"""),37)</f>
        <v>37</v>
      </c>
      <c r="X17" s="14" t="str">
        <f ca="1">IFERROR(__xludf.DUMMYFUNCTION("""COMPUTED_VALUE"""),"2820, 2400, 2860, 2000, 2870, 2700, 2800")</f>
        <v>2820, 2400, 2860, 2000, 2870, 2700, 2800</v>
      </c>
      <c r="Y17" s="14" t="str">
        <f ca="1">IFERROR(__xludf.DUMMYFUNCTION("""COMPUTED_VALUE"""),"ja")</f>
        <v>ja</v>
      </c>
      <c r="Z17" s="14" t="str">
        <f ca="1">IFERROR(__xludf.DUMMYFUNCTION("""COMPUTED_VALUE"""),"Sprang på med det samme uden at vide prisen. Det blev han dog informeret om ")</f>
        <v xml:space="preserve">Sprang på med det samme uden at vide prisen. Det blev han dog informeret om </v>
      </c>
      <c r="AA17" s="16"/>
      <c r="AB17" s="14" t="str">
        <f ca="1">IFERROR(__xludf.DUMMYFUNCTION("""COMPUTED_VALUE"""),"x")</f>
        <v>x</v>
      </c>
      <c r="AC17" s="14" t="str">
        <f ca="1">IFERROR(__xludf.DUMMYFUNCTION("""COMPUTED_VALUE"""),"x")</f>
        <v>x</v>
      </c>
    </row>
    <row r="18" spans="1:29" ht="15.75" customHeight="1" x14ac:dyDescent="0.25">
      <c r="A18" s="14" t="str">
        <f ca="1">IFERROR(__xludf.DUMMYFUNCTION("""COMPUTED_VALUE"""),"Camilla")</f>
        <v>Camilla</v>
      </c>
      <c r="B18" s="14" t="str">
        <f ca="1">IFERROR(__xludf.DUMMYFUNCTION("""COMPUTED_VALUE"""),"RealMæglerne Hellerup")</f>
        <v>RealMæglerne Hellerup</v>
      </c>
      <c r="C18" s="14">
        <f ca="1">IFERROR(__xludf.DUMMYFUNCTION("""COMPUTED_VALUE"""),41328304)</f>
        <v>41328304</v>
      </c>
      <c r="D18" s="14" t="str">
        <f ca="1">IFERROR(__xludf.DUMMYFUNCTION("""COMPUTED_VALUE"""),"MG-SJ: 3.499,-")</f>
        <v>MG-SJ: 3.499,-</v>
      </c>
      <c r="E18" s="14">
        <f ca="1">IFERROR(__xludf.DUMMYFUNCTION("""COMPUTED_VALUE"""),1202)</f>
        <v>1202</v>
      </c>
      <c r="F18" s="14" t="str">
        <f ca="1">IFERROR(__xludf.DUMMYFUNCTION("""COMPUTED_VALUE"""),"Kenneth Petersen")</f>
        <v>Kenneth Petersen</v>
      </c>
      <c r="G18" s="14" t="str">
        <f ca="1">IFERROR(__xludf.DUMMYFUNCTION("""COMPUTED_VALUE"""),"krp@mailreal.dk")</f>
        <v>krp@mailreal.dk</v>
      </c>
      <c r="H18" s="14" t="str">
        <f ca="1">IFERROR(__xludf.DUMMYFUNCTION("""COMPUTED_VALUE"""),"2033 2576")</f>
        <v>2033 2576</v>
      </c>
      <c r="I18" s="14" t="str">
        <f ca="1">IFERROR(__xludf.DUMMYFUNCTION("""COMPUTED_VALUE"""),"Hellerupvej 8")</f>
        <v>Hellerupvej 8</v>
      </c>
      <c r="J18" s="14">
        <f ca="1">IFERROR(__xludf.DUMMYFUNCTION("""COMPUTED_VALUE"""),2900)</f>
        <v>2900</v>
      </c>
      <c r="K18" s="14" t="str">
        <f ca="1">IFERROR(__xludf.DUMMYFUNCTION("""COMPUTED_VALUE"""),"Hellerup")</f>
        <v>Hellerup</v>
      </c>
      <c r="L18" s="14" t="str">
        <f ca="1">IFERROR(__xludf.DUMMYFUNCTION("""COMPUTED_VALUE"""),"Gentofte")</f>
        <v>Gentofte</v>
      </c>
      <c r="M18" s="14" t="str">
        <f ca="1">IFERROR(__xludf.DUMMYFUNCTION("""COMPUTED_VALUE"""),"Københavns omegn")</f>
        <v>Københavns omegn</v>
      </c>
      <c r="N18" s="14" t="str">
        <f ca="1">IFERROR(__xludf.DUMMYFUNCTION("""COMPUTED_VALUE"""),"Hovedstaden")</f>
        <v>Hovedstaden</v>
      </c>
      <c r="O18" s="14">
        <f ca="1">IFERROR(__xludf.DUMMYFUNCTION("""COMPUTED_VALUE"""),44474444)</f>
        <v>44474444</v>
      </c>
      <c r="P18" s="14" t="str">
        <f ca="1">IFERROR(__xludf.DUMMYFUNCTION("""COMPUTED_VALUE"""),"hellerup@mailreal.dk")</f>
        <v>hellerup@mailreal.dk</v>
      </c>
      <c r="Q18" s="15" t="str">
        <f ca="1">IFERROR(__xludf.DUMMYFUNCTION("""COMPUTED_VALUE"""),"https://www.boliga.dk/maegler/26913")</f>
        <v>https://www.boliga.dk/maegler/26913</v>
      </c>
      <c r="R18" s="14" t="str">
        <f ca="1">IFERROR(__xludf.DUMMYFUNCTION("""COMPUTED_VALUE"""),"-")</f>
        <v>-</v>
      </c>
      <c r="S18" s="20" t="str">
        <f ca="1">IFERROR(__xludf.DUMMYFUNCTION("""COMPUTED_VALUE"""),"-")</f>
        <v>-</v>
      </c>
      <c r="T18" s="14" t="str">
        <f ca="1">IFERROR(__xludf.DUMMYFUNCTION("""COMPUTED_VALUE"""),"-")</f>
        <v>-</v>
      </c>
      <c r="U18" s="14">
        <f ca="1">IFERROR(__xludf.DUMMYFUNCTION("""COMPUTED_VALUE"""),10)</f>
        <v>10</v>
      </c>
      <c r="V18" s="14" t="str">
        <f ca="1">IFERROR(__xludf.DUMMYFUNCTION("""COMPUTED_VALUE"""),"2820, 2610, 2100, 2000, 2150, 2900")</f>
        <v>2820, 2610, 2100, 2000, 2150, 2900</v>
      </c>
      <c r="W18" s="14">
        <f ca="1">IFERROR(__xludf.DUMMYFUNCTION("""COMPUTED_VALUE"""),20)</f>
        <v>20</v>
      </c>
      <c r="X18" s="14" t="str">
        <f ca="1">IFERROR(__xludf.DUMMYFUNCTION("""COMPUTED_VALUE"""),"1370, 2100, 1319, 2900, 2730, 2820, 2870, 4330")</f>
        <v>1370, 2100, 1319, 2900, 2730, 2820, 2870, 4330</v>
      </c>
      <c r="Y18" s="14" t="str">
        <f ca="1">IFERROR(__xludf.DUMMYFUNCTION("""COMPUTED_VALUE"""),"ja")</f>
        <v>ja</v>
      </c>
      <c r="Z18" s="14"/>
      <c r="AA18" s="16"/>
      <c r="AB18" s="14" t="str">
        <f ca="1">IFERROR(__xludf.DUMMYFUNCTION("""COMPUTED_VALUE"""),"x")</f>
        <v>x</v>
      </c>
      <c r="AC18" s="14" t="str">
        <f ca="1">IFERROR(__xludf.DUMMYFUNCTION("""COMPUTED_VALUE"""),"x")</f>
        <v>x</v>
      </c>
    </row>
    <row r="19" spans="1:29" ht="12.5" x14ac:dyDescent="0.25">
      <c r="A19" s="14" t="str">
        <f ca="1">IFERROR(__xludf.DUMMYFUNCTION("""COMPUTED_VALUE"""),"Camilla")</f>
        <v>Camilla</v>
      </c>
      <c r="B19" s="14" t="str">
        <f ca="1">IFERROR(__xludf.DUMMYFUNCTION("""COMPUTED_VALUE"""),"RealMæglerne Gentofte og Vangede ApS")</f>
        <v>RealMæglerne Gentofte og Vangede ApS</v>
      </c>
      <c r="C19" s="14">
        <f ca="1">IFERROR(__xludf.DUMMYFUNCTION("""COMPUTED_VALUE"""),42620564)</f>
        <v>42620564</v>
      </c>
      <c r="D19" s="14" t="str">
        <f ca="1">IFERROR(__xludf.DUMMYFUNCTION("""COMPUTED_VALUE"""),"MG-SJ: 3.499,-")</f>
        <v>MG-SJ: 3.499,-</v>
      </c>
      <c r="E19" s="14">
        <f ca="1">IFERROR(__xludf.DUMMYFUNCTION("""COMPUTED_VALUE"""),1202)</f>
        <v>1202</v>
      </c>
      <c r="F19" s="14" t="str">
        <f ca="1">IFERROR(__xludf.DUMMYFUNCTION("""COMPUTED_VALUE"""),"Kenneth Petersen")</f>
        <v>Kenneth Petersen</v>
      </c>
      <c r="G19" s="14" t="str">
        <f ca="1">IFERROR(__xludf.DUMMYFUNCTION("""COMPUTED_VALUE"""),"krp@mailreal.dk")</f>
        <v>krp@mailreal.dk</v>
      </c>
      <c r="H19" s="14" t="str">
        <f ca="1">IFERROR(__xludf.DUMMYFUNCTION("""COMPUTED_VALUE"""),"2033 2576")</f>
        <v>2033 2576</v>
      </c>
      <c r="I19" s="14" t="str">
        <f ca="1">IFERROR(__xludf.DUMMYFUNCTION("""COMPUTED_VALUE"""),"Hellerupvej 8")</f>
        <v>Hellerupvej 8</v>
      </c>
      <c r="J19" s="14">
        <f ca="1">IFERROR(__xludf.DUMMYFUNCTION("""COMPUTED_VALUE"""),2900)</f>
        <v>2900</v>
      </c>
      <c r="K19" s="14" t="str">
        <f ca="1">IFERROR(__xludf.DUMMYFUNCTION("""COMPUTED_VALUE"""),"Hellerup")</f>
        <v>Hellerup</v>
      </c>
      <c r="L19" s="14" t="str">
        <f ca="1">IFERROR(__xludf.DUMMYFUNCTION("""COMPUTED_VALUE"""),"Gentofte")</f>
        <v>Gentofte</v>
      </c>
      <c r="M19" s="14" t="str">
        <f ca="1">IFERROR(__xludf.DUMMYFUNCTION("""COMPUTED_VALUE"""),"Københavns omegn")</f>
        <v>Københavns omegn</v>
      </c>
      <c r="N19" s="14" t="str">
        <f ca="1">IFERROR(__xludf.DUMMYFUNCTION("""COMPUTED_VALUE"""),"Hovedstaden")</f>
        <v>Hovedstaden</v>
      </c>
      <c r="O19" s="14">
        <f ca="1">IFERROR(__xludf.DUMMYFUNCTION("""COMPUTED_VALUE"""),44474444)</f>
        <v>44474444</v>
      </c>
      <c r="P19" s="14" t="str">
        <f ca="1">IFERROR(__xludf.DUMMYFUNCTION("""COMPUTED_VALUE"""),"hellerup@mailreal.dk")</f>
        <v>hellerup@mailreal.dk</v>
      </c>
      <c r="Q19" s="15" t="str">
        <f ca="1">IFERROR(__xludf.DUMMYFUNCTION("""COMPUTED_VALUE"""),"https://www.boliga.dk/maegler/762")</f>
        <v>https://www.boliga.dk/maegler/762</v>
      </c>
      <c r="R19" s="14" t="str">
        <f ca="1">IFERROR(__xludf.DUMMYFUNCTION("""COMPUTED_VALUE"""),"-")</f>
        <v>-</v>
      </c>
      <c r="S19" s="20" t="str">
        <f ca="1">IFERROR(__xludf.DUMMYFUNCTION("""COMPUTED_VALUE"""),"-")</f>
        <v>-</v>
      </c>
      <c r="T19" s="14" t="str">
        <f ca="1">IFERROR(__xludf.DUMMYFUNCTION("""COMPUTED_VALUE"""),"-")</f>
        <v>-</v>
      </c>
      <c r="U19" s="14">
        <f ca="1">IFERROR(__xludf.DUMMYFUNCTION("""COMPUTED_VALUE"""),10)</f>
        <v>10</v>
      </c>
      <c r="V19" s="14" t="str">
        <f ca="1">IFERROR(__xludf.DUMMYFUNCTION("""COMPUTED_VALUE"""),"2820, 2610, 2100, 2000, 2150, 2900")</f>
        <v>2820, 2610, 2100, 2000, 2150, 2900</v>
      </c>
      <c r="W19" s="14">
        <f ca="1">IFERROR(__xludf.DUMMYFUNCTION("""COMPUTED_VALUE"""),20)</f>
        <v>20</v>
      </c>
      <c r="X19" s="14" t="str">
        <f ca="1">IFERROR(__xludf.DUMMYFUNCTION("""COMPUTED_VALUE"""),"1370, 2100, 1319, 2900, 2730, 2820, 2870, 4330")</f>
        <v>1370, 2100, 1319, 2900, 2730, 2820, 2870, 4330</v>
      </c>
      <c r="Y19" s="14" t="str">
        <f ca="1">IFERROR(__xludf.DUMMYFUNCTION("""COMPUTED_VALUE"""),"ja")</f>
        <v>ja</v>
      </c>
      <c r="Z19" s="14"/>
      <c r="AA19" s="16"/>
      <c r="AB19" s="14" t="str">
        <f ca="1">IFERROR(__xludf.DUMMYFUNCTION("""COMPUTED_VALUE"""),"x")</f>
        <v>x</v>
      </c>
      <c r="AC19" s="14" t="str">
        <f ca="1">IFERROR(__xludf.DUMMYFUNCTION("""COMPUTED_VALUE"""),"x")</f>
        <v>x</v>
      </c>
    </row>
    <row r="20" spans="1:29" ht="12.5" x14ac:dyDescent="0.25">
      <c r="A20" s="14" t="str">
        <f ca="1">IFERROR(__xludf.DUMMYFUNCTION("""COMPUTED_VALUE"""),"Camilla")</f>
        <v>Camilla</v>
      </c>
      <c r="B20" s="14" t="str">
        <f ca="1">IFERROR(__xludf.DUMMYFUNCTION("""COMPUTED_VALUE"""),"RealMæglerne Charlottenlund og Klampenborg ApS")</f>
        <v>RealMæglerne Charlottenlund og Klampenborg ApS</v>
      </c>
      <c r="C20" s="14">
        <f ca="1">IFERROR(__xludf.DUMMYFUNCTION("""COMPUTED_VALUE"""),41328290)</f>
        <v>41328290</v>
      </c>
      <c r="D20" s="14" t="str">
        <f ca="1">IFERROR(__xludf.DUMMYFUNCTION("""COMPUTED_VALUE"""),"MG-SJ: 3.499,-")</f>
        <v>MG-SJ: 3.499,-</v>
      </c>
      <c r="E20" s="14">
        <f ca="1">IFERROR(__xludf.DUMMYFUNCTION("""COMPUTED_VALUE"""),1202)</f>
        <v>1202</v>
      </c>
      <c r="F20" s="14" t="str">
        <f ca="1">IFERROR(__xludf.DUMMYFUNCTION("""COMPUTED_VALUE"""),"Kenneth Petersen")</f>
        <v>Kenneth Petersen</v>
      </c>
      <c r="G20" s="14" t="str">
        <f ca="1">IFERROR(__xludf.DUMMYFUNCTION("""COMPUTED_VALUE"""),"krp@mailreal.dk")</f>
        <v>krp@mailreal.dk</v>
      </c>
      <c r="H20" s="14" t="str">
        <f ca="1">IFERROR(__xludf.DUMMYFUNCTION("""COMPUTED_VALUE"""),"2033 2576")</f>
        <v>2033 2576</v>
      </c>
      <c r="I20" s="14" t="str">
        <f ca="1">IFERROR(__xludf.DUMMYFUNCTION("""COMPUTED_VALUE"""),"Ordrupvej 55A")</f>
        <v>Ordrupvej 55A</v>
      </c>
      <c r="J20" s="14">
        <f ca="1">IFERROR(__xludf.DUMMYFUNCTION("""COMPUTED_VALUE"""),2920)</f>
        <v>2920</v>
      </c>
      <c r="K20" s="14" t="str">
        <f ca="1">IFERROR(__xludf.DUMMYFUNCTION("""COMPUTED_VALUE"""),"Charlottenlund")</f>
        <v>Charlottenlund</v>
      </c>
      <c r="L20" s="14" t="str">
        <f ca="1">IFERROR(__xludf.DUMMYFUNCTION("""COMPUTED_VALUE"""),"Gentofte")</f>
        <v>Gentofte</v>
      </c>
      <c r="M20" s="14" t="str">
        <f ca="1">IFERROR(__xludf.DUMMYFUNCTION("""COMPUTED_VALUE"""),"Københavns omegn")</f>
        <v>Københavns omegn</v>
      </c>
      <c r="N20" s="14" t="str">
        <f ca="1">IFERROR(__xludf.DUMMYFUNCTION("""COMPUTED_VALUE"""),"Hovedstaden")</f>
        <v>Hovedstaden</v>
      </c>
      <c r="O20" s="14">
        <f ca="1">IFERROR(__xludf.DUMMYFUNCTION("""COMPUTED_VALUE"""),44474444)</f>
        <v>44474444</v>
      </c>
      <c r="P20" s="14" t="str">
        <f ca="1">IFERROR(__xludf.DUMMYFUNCTION("""COMPUTED_VALUE"""),"charlottenlund@mailreal.dk")</f>
        <v>charlottenlund@mailreal.dk</v>
      </c>
      <c r="Q20" s="15" t="str">
        <f ca="1">IFERROR(__xludf.DUMMYFUNCTION("""COMPUTED_VALUE"""),"https://www.boliga.dk/maegler/26919")</f>
        <v>https://www.boliga.dk/maegler/26919</v>
      </c>
      <c r="R20" s="14" t="str">
        <f ca="1">IFERROR(__xludf.DUMMYFUNCTION("""COMPUTED_VALUE"""),"-")</f>
        <v>-</v>
      </c>
      <c r="S20" s="18" t="str">
        <f ca="1">IFERROR(__xludf.DUMMYFUNCTION("""COMPUTED_VALUE"""),"-")</f>
        <v>-</v>
      </c>
      <c r="T20" s="14" t="str">
        <f ca="1">IFERROR(__xludf.DUMMYFUNCTION("""COMPUTED_VALUE"""),"-")</f>
        <v>-</v>
      </c>
      <c r="U20" s="14">
        <f ca="1">IFERROR(__xludf.DUMMYFUNCTION("""COMPUTED_VALUE"""),10)</f>
        <v>10</v>
      </c>
      <c r="V20" s="14" t="str">
        <f ca="1">IFERROR(__xludf.DUMMYFUNCTION("""COMPUTED_VALUE"""),"2920, 2100")</f>
        <v>2920, 2100</v>
      </c>
      <c r="W20" s="14">
        <f ca="1">IFERROR(__xludf.DUMMYFUNCTION("""COMPUTED_VALUE"""),10)</f>
        <v>10</v>
      </c>
      <c r="X20" s="14" t="str">
        <f ca="1">IFERROR(__xludf.DUMMYFUNCTION("""COMPUTED_VALUE"""),"2850, 1051, 3520, 2920, 2960")</f>
        <v>2850, 1051, 3520, 2920, 2960</v>
      </c>
      <c r="Y20" s="14" t="str">
        <f ca="1">IFERROR(__xludf.DUMMYFUNCTION("""COMPUTED_VALUE"""),"ja")</f>
        <v>ja</v>
      </c>
      <c r="Z20" s="14"/>
      <c r="AA20" s="16"/>
      <c r="AB20" s="14" t="str">
        <f ca="1">IFERROR(__xludf.DUMMYFUNCTION("""COMPUTED_VALUE"""),"x")</f>
        <v>x</v>
      </c>
      <c r="AC20" s="14" t="str">
        <f ca="1">IFERROR(__xludf.DUMMYFUNCTION("""COMPUTED_VALUE"""),"x")</f>
        <v>x</v>
      </c>
    </row>
    <row r="21" spans="1:29" ht="12.5" x14ac:dyDescent="0.25">
      <c r="A21" s="14" t="str">
        <f ca="1">IFERROR(__xludf.DUMMYFUNCTION("""COMPUTED_VALUE"""),"Camilla")</f>
        <v>Camilla</v>
      </c>
      <c r="B21" s="14" t="str">
        <f ca="1">IFERROR(__xludf.DUMMYFUNCTION("""COMPUTED_VALUE"""),"RealMæglerne Maasbøl")</f>
        <v>RealMæglerne Maasbøl</v>
      </c>
      <c r="C21" s="14">
        <f ca="1">IFERROR(__xludf.DUMMYFUNCTION("""COMPUTED_VALUE"""),28275404)</f>
        <v>28275404</v>
      </c>
      <c r="D21" s="14" t="str">
        <f ca="1">IFERROR(__xludf.DUMMYFUNCTION("""COMPUTED_VALUE"""),"MG-SJ: 3.499,-")</f>
        <v>MG-SJ: 3.499,-</v>
      </c>
      <c r="E21" s="14">
        <f ca="1">IFERROR(__xludf.DUMMYFUNCTION("""COMPUTED_VALUE"""),1202)</f>
        <v>1202</v>
      </c>
      <c r="F21" s="14" t="str">
        <f ca="1">IFERROR(__xludf.DUMMYFUNCTION("""COMPUTED_VALUE"""),"Bjarke Maasbøl")</f>
        <v>Bjarke Maasbøl</v>
      </c>
      <c r="G21" s="14" t="str">
        <f ca="1">IFERROR(__xludf.DUMMYFUNCTION("""COMPUTED_VALUE"""),"bm@mailreal.dk")</f>
        <v>bm@mailreal.dk</v>
      </c>
      <c r="H21" s="14" t="str">
        <f ca="1">IFERROR(__xludf.DUMMYFUNCTION("""COMPUTED_VALUE"""),"2119 1821")</f>
        <v>2119 1821</v>
      </c>
      <c r="I21" s="14" t="str">
        <f ca="1">IFERROR(__xludf.DUMMYFUNCTION("""COMPUTED_VALUE"""),"Rungstedvej 11")</f>
        <v>Rungstedvej 11</v>
      </c>
      <c r="J21" s="14">
        <f ca="1">IFERROR(__xludf.DUMMYFUNCTION("""COMPUTED_VALUE"""),2970)</f>
        <v>2970</v>
      </c>
      <c r="K21" s="14" t="str">
        <f ca="1">IFERROR(__xludf.DUMMYFUNCTION("""COMPUTED_VALUE"""),"Hørsholm")</f>
        <v>Hørsholm</v>
      </c>
      <c r="L21" s="14" t="str">
        <f ca="1">IFERROR(__xludf.DUMMYFUNCTION("""COMPUTED_VALUE"""),"Hørsholm")</f>
        <v>Hørsholm</v>
      </c>
      <c r="M21" s="14" t="str">
        <f ca="1">IFERROR(__xludf.DUMMYFUNCTION("""COMPUTED_VALUE"""),"Nordsjælland")</f>
        <v>Nordsjælland</v>
      </c>
      <c r="N21" s="14" t="str">
        <f ca="1">IFERROR(__xludf.DUMMYFUNCTION("""COMPUTED_VALUE"""),"Hovedstaden")</f>
        <v>Hovedstaden</v>
      </c>
      <c r="O21" s="14">
        <f ca="1">IFERROR(__xludf.DUMMYFUNCTION("""COMPUTED_VALUE"""),45769051)</f>
        <v>45769051</v>
      </c>
      <c r="P21" s="14" t="str">
        <f ca="1">IFERROR(__xludf.DUMMYFUNCTION("""COMPUTED_VALUE"""),"2970@mailreal.dk")</f>
        <v>2970@mailreal.dk</v>
      </c>
      <c r="Q21" s="15" t="str">
        <f ca="1">IFERROR(__xludf.DUMMYFUNCTION("""COMPUTED_VALUE"""),"https://www.boliga.dk/maegler/859")</f>
        <v>https://www.boliga.dk/maegler/859</v>
      </c>
      <c r="R21" s="14" t="str">
        <f ca="1">IFERROR(__xludf.DUMMYFUNCTION("""COMPUTED_VALUE"""),"-")</f>
        <v>-</v>
      </c>
      <c r="S21" s="20" t="str">
        <f ca="1">IFERROR(__xludf.DUMMYFUNCTION("""COMPUTED_VALUE"""),"-")</f>
        <v>-</v>
      </c>
      <c r="T21" s="14" t="str">
        <f ca="1">IFERROR(__xludf.DUMMYFUNCTION("""COMPUTED_VALUE"""),"-")</f>
        <v>-</v>
      </c>
      <c r="U21" s="14">
        <f ca="1">IFERROR(__xludf.DUMMYFUNCTION("""COMPUTED_VALUE"""),9)</f>
        <v>9</v>
      </c>
      <c r="V21" s="14" t="str">
        <f ca="1">IFERROR(__xludf.DUMMYFUNCTION("""COMPUTED_VALUE"""),"3480, 2970, 2960, 3000")</f>
        <v>3480, 2970, 2960, 3000</v>
      </c>
      <c r="W21" s="14">
        <f ca="1">IFERROR(__xludf.DUMMYFUNCTION("""COMPUTED_VALUE"""),8)</f>
        <v>8</v>
      </c>
      <c r="X21" s="14" t="str">
        <f ca="1">IFERROR(__xludf.DUMMYFUNCTION("""COMPUTED_VALUE"""),"2960, 2970, 3460, 4060")</f>
        <v>2960, 2970, 3460, 4060</v>
      </c>
      <c r="Y21" s="14" t="str">
        <f ca="1">IFERROR(__xludf.DUMMYFUNCTION("""COMPUTED_VALUE"""),"ja")</f>
        <v>ja</v>
      </c>
      <c r="Z21" s="14"/>
      <c r="AA21" s="16"/>
      <c r="AB21" s="14" t="str">
        <f ca="1">IFERROR(__xludf.DUMMYFUNCTION("""COMPUTED_VALUE"""),"x")</f>
        <v>x</v>
      </c>
      <c r="AC21" s="14" t="str">
        <f ca="1">IFERROR(__xludf.DUMMYFUNCTION("""COMPUTED_VALUE"""),"x")</f>
        <v>x</v>
      </c>
    </row>
    <row r="22" spans="1:29" ht="12.5" x14ac:dyDescent="0.25">
      <c r="A22" s="14" t="str">
        <f ca="1">IFERROR(__xludf.DUMMYFUNCTION("""COMPUTED_VALUE"""),"Camilla")</f>
        <v>Camilla</v>
      </c>
      <c r="B22" s="14" t="str">
        <f ca="1">IFERROR(__xludf.DUMMYFUNCTION("""COMPUTED_VALUE"""),"RealMæglerne Kokkedal-Nivå")</f>
        <v>RealMæglerne Kokkedal-Nivå</v>
      </c>
      <c r="C22" s="14">
        <f ca="1">IFERROR(__xludf.DUMMYFUNCTION("""COMPUTED_VALUE"""),39179717)</f>
        <v>39179717</v>
      </c>
      <c r="D22" s="14" t="str">
        <f ca="1">IFERROR(__xludf.DUMMYFUNCTION("""COMPUTED_VALUE"""),"MG-SJ: 3.499,-")</f>
        <v>MG-SJ: 3.499,-</v>
      </c>
      <c r="E22" s="14">
        <f ca="1">IFERROR(__xludf.DUMMYFUNCTION("""COMPUTED_VALUE"""),1202)</f>
        <v>1202</v>
      </c>
      <c r="F22" s="14" t="str">
        <f ca="1">IFERROR(__xludf.DUMMYFUNCTION("""COMPUTED_VALUE"""),"Ariyan Sarmoli")</f>
        <v>Ariyan Sarmoli</v>
      </c>
      <c r="G22" s="14" t="str">
        <f ca="1">IFERROR(__xludf.DUMMYFUNCTION("""COMPUTED_VALUE"""),"as@mailreal.dk")</f>
        <v>as@mailreal.dk</v>
      </c>
      <c r="H22" s="14" t="str">
        <f ca="1">IFERROR(__xludf.DUMMYFUNCTION("""COMPUTED_VALUE"""),"3131 4626")</f>
        <v>3131 4626</v>
      </c>
      <c r="I22" s="14" t="str">
        <f ca="1">IFERROR(__xludf.DUMMYFUNCTION("""COMPUTED_VALUE"""),"Højengen 3")</f>
        <v>Højengen 3</v>
      </c>
      <c r="J22" s="14">
        <f ca="1">IFERROR(__xludf.DUMMYFUNCTION("""COMPUTED_VALUE"""),2980)</f>
        <v>2980</v>
      </c>
      <c r="K22" s="14" t="str">
        <f ca="1">IFERROR(__xludf.DUMMYFUNCTION("""COMPUTED_VALUE"""),"Kokkedal")</f>
        <v>Kokkedal</v>
      </c>
      <c r="L22" s="14" t="str">
        <f ca="1">IFERROR(__xludf.DUMMYFUNCTION("""COMPUTED_VALUE"""),"Fredensborg")</f>
        <v>Fredensborg</v>
      </c>
      <c r="M22" s="14" t="str">
        <f ca="1">IFERROR(__xludf.DUMMYFUNCTION("""COMPUTED_VALUE"""),"Nordsjælland")</f>
        <v>Nordsjælland</v>
      </c>
      <c r="N22" s="14" t="str">
        <f ca="1">IFERROR(__xludf.DUMMYFUNCTION("""COMPUTED_VALUE"""),"Hovedstaden")</f>
        <v>Hovedstaden</v>
      </c>
      <c r="O22" s="14">
        <f ca="1">IFERROR(__xludf.DUMMYFUNCTION("""COMPUTED_VALUE"""),49181100)</f>
        <v>49181100</v>
      </c>
      <c r="P22" s="14" t="str">
        <f ca="1">IFERROR(__xludf.DUMMYFUNCTION("""COMPUTED_VALUE"""),"2980@mailreal.dk")</f>
        <v>2980@mailreal.dk</v>
      </c>
      <c r="Q22" s="15" t="str">
        <f ca="1">IFERROR(__xludf.DUMMYFUNCTION("""COMPUTED_VALUE"""),"https://www.boliga.dk/maegler/25081")</f>
        <v>https://www.boliga.dk/maegler/25081</v>
      </c>
      <c r="R22" s="14" t="str">
        <f ca="1">IFERROR(__xludf.DUMMYFUNCTION("""COMPUTED_VALUE"""),"-")</f>
        <v>-</v>
      </c>
      <c r="S22" s="18" t="str">
        <f ca="1">IFERROR(__xludf.DUMMYFUNCTION("""COMPUTED_VALUE"""),"-")</f>
        <v>-</v>
      </c>
      <c r="T22" s="14" t="str">
        <f ca="1">IFERROR(__xludf.DUMMYFUNCTION("""COMPUTED_VALUE"""),"-")</f>
        <v>-</v>
      </c>
      <c r="U22" s="14">
        <f ca="1">IFERROR(__xludf.DUMMYFUNCTION("""COMPUTED_VALUE"""),5)</f>
        <v>5</v>
      </c>
      <c r="V22" s="14">
        <f ca="1">IFERROR(__xludf.DUMMYFUNCTION("""COMPUTED_VALUE"""),2980)</f>
        <v>2980</v>
      </c>
      <c r="W22" s="14">
        <f ca="1">IFERROR(__xludf.DUMMYFUNCTION("""COMPUTED_VALUE"""),22)</f>
        <v>22</v>
      </c>
      <c r="X22" s="14" t="str">
        <f ca="1">IFERROR(__xludf.DUMMYFUNCTION("""COMPUTED_VALUE"""),"2980, 2990, 3050")</f>
        <v>2980, 2990, 3050</v>
      </c>
      <c r="Y22" s="14" t="str">
        <f ca="1">IFERROR(__xludf.DUMMYFUNCTION("""COMPUTED_VALUE"""),"ja")</f>
        <v>ja</v>
      </c>
      <c r="Z22" s="14"/>
      <c r="AA22" s="16"/>
      <c r="AB22" s="14" t="str">
        <f ca="1">IFERROR(__xludf.DUMMYFUNCTION("""COMPUTED_VALUE"""),"x")</f>
        <v>x</v>
      </c>
      <c r="AC22" s="14" t="str">
        <f ca="1">IFERROR(__xludf.DUMMYFUNCTION("""COMPUTED_VALUE"""),"x")</f>
        <v>x</v>
      </c>
    </row>
    <row r="23" spans="1:29" ht="12.5" x14ac:dyDescent="0.25">
      <c r="A23" s="14" t="str">
        <f ca="1">IFERROR(__xludf.DUMMYFUNCTION("""COMPUTED_VALUE"""),"Camilla")</f>
        <v>Camilla</v>
      </c>
      <c r="B23" s="14" t="str">
        <f ca="1">IFERROR(__xludf.DUMMYFUNCTION("""COMPUTED_VALUE"""),"RealMæglerne Gribskov ApS")</f>
        <v>RealMæglerne Gribskov ApS</v>
      </c>
      <c r="C23" s="14">
        <f ca="1">IFERROR(__xludf.DUMMYFUNCTION("""COMPUTED_VALUE"""),40645896)</f>
        <v>40645896</v>
      </c>
      <c r="D23" s="14" t="str">
        <f ca="1">IFERROR(__xludf.DUMMYFUNCTION("""COMPUTED_VALUE"""),"MG-SJ: 3.499,-")</f>
        <v>MG-SJ: 3.499,-</v>
      </c>
      <c r="E23" s="14">
        <f ca="1">IFERROR(__xludf.DUMMYFUNCTION("""COMPUTED_VALUE"""),1202)</f>
        <v>1202</v>
      </c>
      <c r="F23" s="14" t="str">
        <f ca="1">IFERROR(__xludf.DUMMYFUNCTION("""COMPUTED_VALUE"""),"Tina Kyhl")</f>
        <v>Tina Kyhl</v>
      </c>
      <c r="G23" s="14" t="str">
        <f ca="1">IFERROR(__xludf.DUMMYFUNCTION("""COMPUTED_VALUE"""),"3200@mailreal.dk")</f>
        <v>3200@mailreal.dk</v>
      </c>
      <c r="H23" s="14" t="str">
        <f ca="1">IFERROR(__xludf.DUMMYFUNCTION("""COMPUTED_VALUE"""),"4879 0585")</f>
        <v>4879 0585</v>
      </c>
      <c r="I23" s="14" t="str">
        <f ca="1">IFERROR(__xludf.DUMMYFUNCTION("""COMPUTED_VALUE"""),"Frederiksborgvej 9")</f>
        <v>Frederiksborgvej 9</v>
      </c>
      <c r="J23" s="14">
        <f ca="1">IFERROR(__xludf.DUMMYFUNCTION("""COMPUTED_VALUE"""),3200)</f>
        <v>3200</v>
      </c>
      <c r="K23" s="14" t="str">
        <f ca="1">IFERROR(__xludf.DUMMYFUNCTION("""COMPUTED_VALUE"""),"Helsinge")</f>
        <v>Helsinge</v>
      </c>
      <c r="L23" s="14" t="str">
        <f ca="1">IFERROR(__xludf.DUMMYFUNCTION("""COMPUTED_VALUE"""),"Gribskov")</f>
        <v>Gribskov</v>
      </c>
      <c r="M23" s="14" t="str">
        <f ca="1">IFERROR(__xludf.DUMMYFUNCTION("""COMPUTED_VALUE"""),"Nordsjælland")</f>
        <v>Nordsjælland</v>
      </c>
      <c r="N23" s="14" t="str">
        <f ca="1">IFERROR(__xludf.DUMMYFUNCTION("""COMPUTED_VALUE"""),"Hovedstaden")</f>
        <v>Hovedstaden</v>
      </c>
      <c r="O23" s="14">
        <f ca="1">IFERROR(__xludf.DUMMYFUNCTION("""COMPUTED_VALUE"""),48790585)</f>
        <v>48790585</v>
      </c>
      <c r="P23" s="14" t="str">
        <f ca="1">IFERROR(__xludf.DUMMYFUNCTION("""COMPUTED_VALUE"""),"3200@mailreal.dk")</f>
        <v>3200@mailreal.dk</v>
      </c>
      <c r="Q23" s="15" t="str">
        <f ca="1">IFERROR(__xludf.DUMMYFUNCTION("""COMPUTED_VALUE"""),"https://www.boliga.dk/maegler/165")</f>
        <v>https://www.boliga.dk/maegler/165</v>
      </c>
      <c r="R23" s="14" t="str">
        <f ca="1">IFERROR(__xludf.DUMMYFUNCTION("""COMPUTED_VALUE"""),"-")</f>
        <v>-</v>
      </c>
      <c r="S23" s="18" t="str">
        <f ca="1">IFERROR(__xludf.DUMMYFUNCTION("""COMPUTED_VALUE"""),"-")</f>
        <v>-</v>
      </c>
      <c r="T23" s="14" t="str">
        <f ca="1">IFERROR(__xludf.DUMMYFUNCTION("""COMPUTED_VALUE"""),"-")</f>
        <v>-</v>
      </c>
      <c r="U23" s="14">
        <f ca="1">IFERROR(__xludf.DUMMYFUNCTION("""COMPUTED_VALUE"""),2)</f>
        <v>2</v>
      </c>
      <c r="V23" s="14">
        <f ca="1">IFERROR(__xludf.DUMMYFUNCTION("""COMPUTED_VALUE"""),3200)</f>
        <v>3200</v>
      </c>
      <c r="W23" s="14">
        <f ca="1">IFERROR(__xludf.DUMMYFUNCTION("""COMPUTED_VALUE"""),5)</f>
        <v>5</v>
      </c>
      <c r="X23" s="14" t="str">
        <f ca="1">IFERROR(__xludf.DUMMYFUNCTION("""COMPUTED_VALUE"""),"3230, 3210, 3200")</f>
        <v>3230, 3210, 3200</v>
      </c>
      <c r="Y23" s="14" t="str">
        <f ca="1">IFERROR(__xludf.DUMMYFUNCTION("""COMPUTED_VALUE"""),"ja")</f>
        <v>ja</v>
      </c>
      <c r="Z23" s="14"/>
      <c r="AA23" s="16"/>
      <c r="AB23" s="14" t="str">
        <f ca="1">IFERROR(__xludf.DUMMYFUNCTION("""COMPUTED_VALUE"""),"x")</f>
        <v>x</v>
      </c>
      <c r="AC23" s="14" t="str">
        <f ca="1">IFERROR(__xludf.DUMMYFUNCTION("""COMPUTED_VALUE"""),"x")</f>
        <v>x</v>
      </c>
    </row>
    <row r="24" spans="1:29" ht="12.5" x14ac:dyDescent="0.25">
      <c r="A24" s="14" t="str">
        <f ca="1">IFERROR(__xludf.DUMMYFUNCTION("""COMPUTED_VALUE"""),"Camilla")</f>
        <v>Camilla</v>
      </c>
      <c r="B24" s="14" t="str">
        <f ca="1">IFERROR(__xludf.DUMMYFUNCTION("""COMPUTED_VALUE"""),"RealMæglerne Gribskov")</f>
        <v>RealMæglerne Gribskov</v>
      </c>
      <c r="C24" s="14">
        <f ca="1">IFERROR(__xludf.DUMMYFUNCTION("""COMPUTED_VALUE"""),40645896)</f>
        <v>40645896</v>
      </c>
      <c r="D24" s="14" t="str">
        <f ca="1">IFERROR(__xludf.DUMMYFUNCTION("""COMPUTED_VALUE"""),"MG-SJ: 3.499,-")</f>
        <v>MG-SJ: 3.499,-</v>
      </c>
      <c r="E24" s="14">
        <f ca="1">IFERROR(__xludf.DUMMYFUNCTION("""COMPUTED_VALUE"""),1202)</f>
        <v>1202</v>
      </c>
      <c r="F24" s="14" t="str">
        <f ca="1">IFERROR(__xludf.DUMMYFUNCTION("""COMPUTED_VALUE"""),"Tina Kyhl")</f>
        <v>Tina Kyhl</v>
      </c>
      <c r="G24" s="14" t="str">
        <f ca="1">IFERROR(__xludf.DUMMYFUNCTION("""COMPUTED_VALUE"""),"3200@mailreal.dk")</f>
        <v>3200@mailreal.dk</v>
      </c>
      <c r="H24" s="14" t="str">
        <f ca="1">IFERROR(__xludf.DUMMYFUNCTION("""COMPUTED_VALUE"""),"4879 0585")</f>
        <v>4879 0585</v>
      </c>
      <c r="I24" s="14" t="str">
        <f ca="1">IFERROR(__xludf.DUMMYFUNCTION("""COMPUTED_VALUE"""),"Vesterbrogade 17")</f>
        <v>Vesterbrogade 17</v>
      </c>
      <c r="J24" s="14">
        <f ca="1">IFERROR(__xludf.DUMMYFUNCTION("""COMPUTED_VALUE"""),3250)</f>
        <v>3250</v>
      </c>
      <c r="K24" s="14" t="str">
        <f ca="1">IFERROR(__xludf.DUMMYFUNCTION("""COMPUTED_VALUE"""),"Gilleleje")</f>
        <v>Gilleleje</v>
      </c>
      <c r="L24" s="14" t="str">
        <f ca="1">IFERROR(__xludf.DUMMYFUNCTION("""COMPUTED_VALUE"""),"Gribskov")</f>
        <v>Gribskov</v>
      </c>
      <c r="M24" s="14" t="str">
        <f ca="1">IFERROR(__xludf.DUMMYFUNCTION("""COMPUTED_VALUE"""),"Nordsjælland")</f>
        <v>Nordsjælland</v>
      </c>
      <c r="N24" s="14" t="str">
        <f ca="1">IFERROR(__xludf.DUMMYFUNCTION("""COMPUTED_VALUE"""),"Hovedstaden")</f>
        <v>Hovedstaden</v>
      </c>
      <c r="O24" s="14">
        <f ca="1">IFERROR(__xludf.DUMMYFUNCTION("""COMPUTED_VALUE"""),48300585)</f>
        <v>48300585</v>
      </c>
      <c r="P24" s="14" t="str">
        <f ca="1">IFERROR(__xludf.DUMMYFUNCTION("""COMPUTED_VALUE"""),"3250@mailreal.dk")</f>
        <v>3250@mailreal.dk</v>
      </c>
      <c r="Q24" s="15" t="str">
        <f ca="1">IFERROR(__xludf.DUMMYFUNCTION("""COMPUTED_VALUE"""),"https://www.boliga.dk/maegler/1027")</f>
        <v>https://www.boliga.dk/maegler/1027</v>
      </c>
      <c r="R24" s="14" t="str">
        <f ca="1">IFERROR(__xludf.DUMMYFUNCTION("""COMPUTED_VALUE"""),"-")</f>
        <v>-</v>
      </c>
      <c r="S24" s="20" t="str">
        <f ca="1">IFERROR(__xludf.DUMMYFUNCTION("""COMPUTED_VALUE"""),"-")</f>
        <v>-</v>
      </c>
      <c r="T24" s="18" t="str">
        <f ca="1">IFERROR(__xludf.DUMMYFUNCTION("""COMPUTED_VALUE"""),"-")</f>
        <v>-</v>
      </c>
      <c r="U24" s="14">
        <f ca="1">IFERROR(__xludf.DUMMYFUNCTION("""COMPUTED_VALUE"""),10)</f>
        <v>10</v>
      </c>
      <c r="V24" s="14" t="str">
        <f ca="1">IFERROR(__xludf.DUMMYFUNCTION("""COMPUTED_VALUE"""),"3250, 3200")</f>
        <v>3250, 3200</v>
      </c>
      <c r="W24" s="14">
        <f ca="1">IFERROR(__xludf.DUMMYFUNCTION("""COMPUTED_VALUE"""),18)</f>
        <v>18</v>
      </c>
      <c r="X24" s="14" t="str">
        <f ca="1">IFERROR(__xludf.DUMMYFUNCTION("""COMPUTED_VALUE"""),"3250, 4520, 3230")</f>
        <v>3250, 4520, 3230</v>
      </c>
      <c r="Y24" s="14" t="str">
        <f ca="1">IFERROR(__xludf.DUMMYFUNCTION("""COMPUTED_VALUE"""),"ja")</f>
        <v>ja</v>
      </c>
      <c r="Z24" s="14"/>
      <c r="AA24" s="16"/>
      <c r="AB24" s="14" t="str">
        <f ca="1">IFERROR(__xludf.DUMMYFUNCTION("""COMPUTED_VALUE"""),"x")</f>
        <v>x</v>
      </c>
      <c r="AC24" s="14" t="str">
        <f ca="1">IFERROR(__xludf.DUMMYFUNCTION("""COMPUTED_VALUE"""),"x")</f>
        <v>x</v>
      </c>
    </row>
    <row r="25" spans="1:29" ht="12.5" x14ac:dyDescent="0.25">
      <c r="A25" s="14" t="str">
        <f ca="1">IFERROR(__xludf.DUMMYFUNCTION("""COMPUTED_VALUE"""),"Camilla")</f>
        <v>Camilla</v>
      </c>
      <c r="B25" s="14" t="str">
        <f ca="1">IFERROR(__xludf.DUMMYFUNCTION("""COMPUTED_VALUE"""),"RealMæglerne Hillerød &amp; Allerød ApS")</f>
        <v>RealMæglerne Hillerød &amp; Allerød ApS</v>
      </c>
      <c r="C25" s="14">
        <f ca="1">IFERROR(__xludf.DUMMYFUNCTION("""COMPUTED_VALUE"""),39295067)</f>
        <v>39295067</v>
      </c>
      <c r="D25" s="14" t="str">
        <f ca="1">IFERROR(__xludf.DUMMYFUNCTION("""COMPUTED_VALUE"""),"MG-SJ: 3.499,-")</f>
        <v>MG-SJ: 3.499,-</v>
      </c>
      <c r="E25" s="14">
        <f ca="1">IFERROR(__xludf.DUMMYFUNCTION("""COMPUTED_VALUE"""),1202)</f>
        <v>1202</v>
      </c>
      <c r="F25" s="14" t="str">
        <f ca="1">IFERROR(__xludf.DUMMYFUNCTION("""COMPUTED_VALUE"""),"Joel Tanghøj")</f>
        <v>Joel Tanghøj</v>
      </c>
      <c r="G25" s="14" t="str">
        <f ca="1">IFERROR(__xludf.DUMMYFUNCTION("""COMPUTED_VALUE"""),"jet@mailreal.dk")</f>
        <v>jet@mailreal.dk</v>
      </c>
      <c r="H25" s="14" t="str">
        <f ca="1">IFERROR(__xludf.DUMMYFUNCTION("""COMPUTED_VALUE"""),"2720 3292")</f>
        <v>2720 3292</v>
      </c>
      <c r="I25" s="14" t="str">
        <f ca="1">IFERROR(__xludf.DUMMYFUNCTION("""COMPUTED_VALUE"""),"Søndre Jernbanevej 24")</f>
        <v>Søndre Jernbanevej 24</v>
      </c>
      <c r="J25" s="14">
        <f ca="1">IFERROR(__xludf.DUMMYFUNCTION("""COMPUTED_VALUE"""),3400)</f>
        <v>3400</v>
      </c>
      <c r="K25" s="14" t="str">
        <f ca="1">IFERROR(__xludf.DUMMYFUNCTION("""COMPUTED_VALUE"""),"Hillerød")</f>
        <v>Hillerød</v>
      </c>
      <c r="L25" s="14" t="str">
        <f ca="1">IFERROR(__xludf.DUMMYFUNCTION("""COMPUTED_VALUE"""),"Hillerød")</f>
        <v>Hillerød</v>
      </c>
      <c r="M25" s="14" t="str">
        <f ca="1">IFERROR(__xludf.DUMMYFUNCTION("""COMPUTED_VALUE"""),"Nordsjælland")</f>
        <v>Nordsjælland</v>
      </c>
      <c r="N25" s="14" t="str">
        <f ca="1">IFERROR(__xludf.DUMMYFUNCTION("""COMPUTED_VALUE"""),"Hovedstaden")</f>
        <v>Hovedstaden</v>
      </c>
      <c r="O25" s="14">
        <f ca="1">IFERROR(__xludf.DUMMYFUNCTION("""COMPUTED_VALUE"""),31232328)</f>
        <v>31232328</v>
      </c>
      <c r="P25" s="14" t="str">
        <f ca="1">IFERROR(__xludf.DUMMYFUNCTION("""COMPUTED_VALUE"""),"3400@mailreal.dk")</f>
        <v>3400@mailreal.dk</v>
      </c>
      <c r="Q25" s="15" t="str">
        <f ca="1">IFERROR(__xludf.DUMMYFUNCTION("""COMPUTED_VALUE"""),"https://www.boliga.dk/maegler/24573")</f>
        <v>https://www.boliga.dk/maegler/24573</v>
      </c>
      <c r="R25" s="14" t="str">
        <f ca="1">IFERROR(__xludf.DUMMYFUNCTION("""COMPUTED_VALUE"""),"-")</f>
        <v>-</v>
      </c>
      <c r="S25" s="20" t="str">
        <f ca="1">IFERROR(__xludf.DUMMYFUNCTION("""COMPUTED_VALUE"""),"-")</f>
        <v>-</v>
      </c>
      <c r="T25" s="14" t="str">
        <f ca="1">IFERROR(__xludf.DUMMYFUNCTION("""COMPUTED_VALUE"""),"-")</f>
        <v>-</v>
      </c>
      <c r="U25" s="14">
        <f ca="1">IFERROR(__xludf.DUMMYFUNCTION("""COMPUTED_VALUE"""),7)</f>
        <v>7</v>
      </c>
      <c r="V25" s="14">
        <f ca="1">IFERROR(__xludf.DUMMYFUNCTION("""COMPUTED_VALUE"""),3400)</f>
        <v>3400</v>
      </c>
      <c r="W25" s="14">
        <f ca="1">IFERROR(__xludf.DUMMYFUNCTION("""COMPUTED_VALUE"""),12)</f>
        <v>12</v>
      </c>
      <c r="X25" s="14" t="str">
        <f ca="1">IFERROR(__xludf.DUMMYFUNCTION("""COMPUTED_VALUE"""),"3400, 2800, 3480")</f>
        <v>3400, 2800, 3480</v>
      </c>
      <c r="Y25" s="14" t="str">
        <f ca="1">IFERROR(__xludf.DUMMYFUNCTION("""COMPUTED_VALUE"""),"ja")</f>
        <v>ja</v>
      </c>
      <c r="Z25" s="14" t="str">
        <f ca="1">IFERROR(__xludf.DUMMYFUNCTION("""COMPUTED_VALUE"""),"Vender det med de to andre indehavere, og så bek han pr mail. ")</f>
        <v xml:space="preserve">Vender det med de to andre indehavere, og så bek han pr mail. </v>
      </c>
      <c r="AA25" s="16"/>
      <c r="AB25" s="14" t="str">
        <f ca="1">IFERROR(__xludf.DUMMYFUNCTION("""COMPUTED_VALUE"""),"x")</f>
        <v>x</v>
      </c>
      <c r="AC25" s="14" t="str">
        <f ca="1">IFERROR(__xludf.DUMMYFUNCTION("""COMPUTED_VALUE"""),"x")</f>
        <v>x</v>
      </c>
    </row>
    <row r="26" spans="1:29" ht="12.5" x14ac:dyDescent="0.25">
      <c r="A26" s="14" t="str">
        <f ca="1">IFERROR(__xludf.DUMMYFUNCTION("""COMPUTED_VALUE"""),"Camilla")</f>
        <v>Camilla</v>
      </c>
      <c r="B26" s="14" t="str">
        <f ca="1">IFERROR(__xludf.DUMMYFUNCTION("""COMPUTED_VALUE"""),"RealMæglerne Birkerød &amp; Holte ApS")</f>
        <v>RealMæglerne Birkerød &amp; Holte ApS</v>
      </c>
      <c r="C26" s="14">
        <f ca="1">IFERROR(__xludf.DUMMYFUNCTION("""COMPUTED_VALUE"""),41445637)</f>
        <v>41445637</v>
      </c>
      <c r="D26" s="14" t="str">
        <f ca="1">IFERROR(__xludf.DUMMYFUNCTION("""COMPUTED_VALUE"""),"MG-SJ: 3.499,-")</f>
        <v>MG-SJ: 3.499,-</v>
      </c>
      <c r="E26" s="14">
        <f ca="1">IFERROR(__xludf.DUMMYFUNCTION("""COMPUTED_VALUE"""),1202)</f>
        <v>1202</v>
      </c>
      <c r="F26" s="14" t="str">
        <f ca="1">IFERROR(__xludf.DUMMYFUNCTION("""COMPUTED_VALUE"""),"Jakob Bech")</f>
        <v>Jakob Bech</v>
      </c>
      <c r="G26" s="14" t="str">
        <f ca="1">IFERROR(__xludf.DUMMYFUNCTION("""COMPUTED_VALUE"""),"jb@mailreal.dk")</f>
        <v>jb@mailreal.dk</v>
      </c>
      <c r="H26" s="14" t="str">
        <f ca="1">IFERROR(__xludf.DUMMYFUNCTION("""COMPUTED_VALUE"""),"2344 0102")</f>
        <v>2344 0102</v>
      </c>
      <c r="I26" s="14" t="str">
        <f ca="1">IFERROR(__xludf.DUMMYFUNCTION("""COMPUTED_VALUE"""),"Birkerød Kongevej 44C")</f>
        <v>Birkerød Kongevej 44C</v>
      </c>
      <c r="J26" s="14">
        <f ca="1">IFERROR(__xludf.DUMMYFUNCTION("""COMPUTED_VALUE"""),3460)</f>
        <v>3460</v>
      </c>
      <c r="K26" s="14" t="str">
        <f ca="1">IFERROR(__xludf.DUMMYFUNCTION("""COMPUTED_VALUE"""),"Birkerød")</f>
        <v>Birkerød</v>
      </c>
      <c r="L26" s="14" t="str">
        <f ca="1">IFERROR(__xludf.DUMMYFUNCTION("""COMPUTED_VALUE"""),"Rudersdal")</f>
        <v>Rudersdal</v>
      </c>
      <c r="M26" s="14" t="str">
        <f ca="1">IFERROR(__xludf.DUMMYFUNCTION("""COMPUTED_VALUE"""),"Nordsjælland")</f>
        <v>Nordsjælland</v>
      </c>
      <c r="N26" s="14" t="str">
        <f ca="1">IFERROR(__xludf.DUMMYFUNCTION("""COMPUTED_VALUE"""),"Hovedstaden")</f>
        <v>Hovedstaden</v>
      </c>
      <c r="O26" s="14">
        <f ca="1">IFERROR(__xludf.DUMMYFUNCTION("""COMPUTED_VALUE"""),23440102)</f>
        <v>23440102</v>
      </c>
      <c r="P26" s="14" t="str">
        <f ca="1">IFERROR(__xludf.DUMMYFUNCTION("""COMPUTED_VALUE"""),"birkerod@mailreal.dk")</f>
        <v>birkerod@mailreal.dk</v>
      </c>
      <c r="Q26" s="15" t="str">
        <f ca="1">IFERROR(__xludf.DUMMYFUNCTION("""COMPUTED_VALUE"""),"https://www.boliga.dk/maegler/27178")</f>
        <v>https://www.boliga.dk/maegler/27178</v>
      </c>
      <c r="R26" s="14" t="str">
        <f ca="1">IFERROR(__xludf.DUMMYFUNCTION("""COMPUTED_VALUE"""),"-")</f>
        <v>-</v>
      </c>
      <c r="S26" s="18" t="str">
        <f ca="1">IFERROR(__xludf.DUMMYFUNCTION("""COMPUTED_VALUE"""),"-")</f>
        <v>-</v>
      </c>
      <c r="T26" s="14" t="str">
        <f ca="1">IFERROR(__xludf.DUMMYFUNCTION("""COMPUTED_VALUE"""),"-")</f>
        <v>-</v>
      </c>
      <c r="U26" s="14">
        <f ca="1">IFERROR(__xludf.DUMMYFUNCTION("""COMPUTED_VALUE"""),5)</f>
        <v>5</v>
      </c>
      <c r="V26" s="14" t="str">
        <f ca="1">IFERROR(__xludf.DUMMYFUNCTION("""COMPUTED_VALUE"""),"2840, 2670, 3460, 3550")</f>
        <v>2840, 2670, 3460, 3550</v>
      </c>
      <c r="W26" s="14">
        <f ca="1">IFERROR(__xludf.DUMMYFUNCTION("""COMPUTED_VALUE"""),5)</f>
        <v>5</v>
      </c>
      <c r="X26" s="14" t="str">
        <f ca="1">IFERROR(__xludf.DUMMYFUNCTION("""COMPUTED_VALUE"""),"4000, 2450, 3460, 4050")</f>
        <v>4000, 2450, 3460, 4050</v>
      </c>
      <c r="Y26" s="14" t="str">
        <f ca="1">IFERROR(__xludf.DUMMYFUNCTION("""COMPUTED_VALUE"""),"ja")</f>
        <v>ja</v>
      </c>
      <c r="Z26" s="14"/>
      <c r="AA26" s="16"/>
      <c r="AB26" s="14" t="str">
        <f ca="1">IFERROR(__xludf.DUMMYFUNCTION("""COMPUTED_VALUE"""),"x")</f>
        <v>x</v>
      </c>
      <c r="AC26" s="14" t="str">
        <f ca="1">IFERROR(__xludf.DUMMYFUNCTION("""COMPUTED_VALUE"""),"x")</f>
        <v>x</v>
      </c>
    </row>
    <row r="27" spans="1:29" ht="12.5" x14ac:dyDescent="0.25">
      <c r="A27" s="14" t="str">
        <f ca="1">IFERROR(__xludf.DUMMYFUNCTION("""COMPUTED_VALUE"""),"Camilla")</f>
        <v>Camilla</v>
      </c>
      <c r="B27" s="14" t="str">
        <f ca="1">IFERROR(__xludf.DUMMYFUNCTION("""COMPUTED_VALUE"""),"RealMæglerne Farum &amp; Værløse ApS")</f>
        <v>RealMæglerne Farum &amp; Værløse ApS</v>
      </c>
      <c r="C27" s="14">
        <f ca="1">IFERROR(__xludf.DUMMYFUNCTION("""COMPUTED_VALUE"""),40033831)</f>
        <v>40033831</v>
      </c>
      <c r="D27" s="14" t="str">
        <f ca="1">IFERROR(__xludf.DUMMYFUNCTION("""COMPUTED_VALUE"""),"MG-SJ: 3.499,-")</f>
        <v>MG-SJ: 3.499,-</v>
      </c>
      <c r="E27" s="14">
        <f ca="1">IFERROR(__xludf.DUMMYFUNCTION("""COMPUTED_VALUE"""),1202)</f>
        <v>1202</v>
      </c>
      <c r="F27" s="14" t="str">
        <f ca="1">IFERROR(__xludf.DUMMYFUNCTION("""COMPUTED_VALUE"""),"Kim Bendixen")</f>
        <v>Kim Bendixen</v>
      </c>
      <c r="G27" s="14" t="str">
        <f ca="1">IFERROR(__xludf.DUMMYFUNCTION("""COMPUTED_VALUE"""),"kim@mailreal.dk")</f>
        <v>kim@mailreal.dk</v>
      </c>
      <c r="H27" s="14" t="str">
        <f ca="1">IFERROR(__xludf.DUMMYFUNCTION("""COMPUTED_VALUE"""),"2680 9299")</f>
        <v>2680 9299</v>
      </c>
      <c r="I27" s="14" t="str">
        <f ca="1">IFERROR(__xludf.DUMMYFUNCTION("""COMPUTED_VALUE"""),"Farum Hovedgade 33")</f>
        <v>Farum Hovedgade 33</v>
      </c>
      <c r="J27" s="14">
        <f ca="1">IFERROR(__xludf.DUMMYFUNCTION("""COMPUTED_VALUE"""),3520)</f>
        <v>3520</v>
      </c>
      <c r="K27" s="14" t="str">
        <f ca="1">IFERROR(__xludf.DUMMYFUNCTION("""COMPUTED_VALUE"""),"Farum")</f>
        <v>Farum</v>
      </c>
      <c r="L27" s="14" t="str">
        <f ca="1">IFERROR(__xludf.DUMMYFUNCTION("""COMPUTED_VALUE"""),"Furesø")</f>
        <v>Furesø</v>
      </c>
      <c r="M27" s="14" t="str">
        <f ca="1">IFERROR(__xludf.DUMMYFUNCTION("""COMPUTED_VALUE"""),"Nordsjælland")</f>
        <v>Nordsjælland</v>
      </c>
      <c r="N27" s="14" t="str">
        <f ca="1">IFERROR(__xludf.DUMMYFUNCTION("""COMPUTED_VALUE"""),"Hovedstaden")</f>
        <v>Hovedstaden</v>
      </c>
      <c r="O27" s="14">
        <f ca="1">IFERROR(__xludf.DUMMYFUNCTION("""COMPUTED_VALUE"""),22210210)</f>
        <v>22210210</v>
      </c>
      <c r="P27" s="14" t="str">
        <f ca="1">IFERROR(__xludf.DUMMYFUNCTION("""COMPUTED_VALUE"""),"furesoe@mailreal.dk")</f>
        <v>furesoe@mailreal.dk</v>
      </c>
      <c r="Q27" s="15" t="str">
        <f ca="1">IFERROR(__xludf.DUMMYFUNCTION("""COMPUTED_VALUE"""),"https://www.boliga.dk/maegler/25716")</f>
        <v>https://www.boliga.dk/maegler/25716</v>
      </c>
      <c r="R27" s="14" t="str">
        <f ca="1">IFERROR(__xludf.DUMMYFUNCTION("""COMPUTED_VALUE"""),"-")</f>
        <v>-</v>
      </c>
      <c r="S27" s="20" t="str">
        <f ca="1">IFERROR(__xludf.DUMMYFUNCTION("""COMPUTED_VALUE"""),"-")</f>
        <v>-</v>
      </c>
      <c r="T27" s="14" t="str">
        <f ca="1">IFERROR(__xludf.DUMMYFUNCTION("""COMPUTED_VALUE"""),"-")</f>
        <v>-</v>
      </c>
      <c r="U27" s="14">
        <f ca="1">IFERROR(__xludf.DUMMYFUNCTION("""COMPUTED_VALUE"""),4)</f>
        <v>4</v>
      </c>
      <c r="V27" s="14" t="str">
        <f ca="1">IFERROR(__xludf.DUMMYFUNCTION("""COMPUTED_VALUE"""),"3500, 3520, 3200")</f>
        <v>3500, 3520, 3200</v>
      </c>
      <c r="W27" s="14">
        <f ca="1">IFERROR(__xludf.DUMMYFUNCTION("""COMPUTED_VALUE"""),6)</f>
        <v>6</v>
      </c>
      <c r="X27" s="14" t="str">
        <f ca="1">IFERROR(__xludf.DUMMYFUNCTION("""COMPUTED_VALUE"""),"2860, 2690, 3520")</f>
        <v>2860, 2690, 3520</v>
      </c>
      <c r="Y27" s="14" t="str">
        <f ca="1">IFERROR(__xludf.DUMMYFUNCTION("""COMPUTED_VALUE"""),"ja")</f>
        <v>ja</v>
      </c>
      <c r="Z27" s="14"/>
      <c r="AA27" s="16"/>
      <c r="AB27" s="14" t="str">
        <f ca="1">IFERROR(__xludf.DUMMYFUNCTION("""COMPUTED_VALUE"""),"x")</f>
        <v>x</v>
      </c>
      <c r="AC27" s="14" t="str">
        <f ca="1">IFERROR(__xludf.DUMMYFUNCTION("""COMPUTED_VALUE"""),"x")</f>
        <v>x</v>
      </c>
    </row>
    <row r="28" spans="1:29" ht="12.5" x14ac:dyDescent="0.25">
      <c r="A28" s="14" t="str">
        <f ca="1">IFERROR(__xludf.DUMMYFUNCTION("""COMPUTED_VALUE"""),"Camilla")</f>
        <v>Camilla</v>
      </c>
      <c r="B28" s="14" t="str">
        <f ca="1">IFERROR(__xludf.DUMMYFUNCTION("""COMPUTED_VALUE"""),"RealMæglerne Staal &amp; Nöhrlind ApS")</f>
        <v>RealMæglerne Staal &amp; Nöhrlind ApS</v>
      </c>
      <c r="C28" s="14">
        <f ca="1">IFERROR(__xludf.DUMMYFUNCTION("""COMPUTED_VALUE"""),34720290)</f>
        <v>34720290</v>
      </c>
      <c r="D28" s="14" t="str">
        <f ca="1">IFERROR(__xludf.DUMMYFUNCTION("""COMPUTED_VALUE"""),"MG-SJ: 3.499,-")</f>
        <v>MG-SJ: 3.499,-</v>
      </c>
      <c r="E28" s="14">
        <f ca="1">IFERROR(__xludf.DUMMYFUNCTION("""COMPUTED_VALUE"""),1202)</f>
        <v>1202</v>
      </c>
      <c r="F28" s="14" t="str">
        <f ca="1">IFERROR(__xludf.DUMMYFUNCTION("""COMPUTED_VALUE"""),"Bodil Nöhrlind")</f>
        <v>Bodil Nöhrlind</v>
      </c>
      <c r="G28" s="14" t="str">
        <f ca="1">IFERROR(__xludf.DUMMYFUNCTION("""COMPUTED_VALUE"""),"bodil@mailreal.dk")</f>
        <v>bodil@mailreal.dk</v>
      </c>
      <c r="H28" s="14" t="str">
        <f ca="1">IFERROR(__xludf.DUMMYFUNCTION("""COMPUTED_VALUE"""),"7199 3636")</f>
        <v>7199 3636</v>
      </c>
      <c r="I28" s="14" t="str">
        <f ca="1">IFERROR(__xludf.DUMMYFUNCTION("""COMPUTED_VALUE"""),"Roskildevej 3 A")</f>
        <v>Roskildevej 3 A</v>
      </c>
      <c r="J28" s="14">
        <f ca="1">IFERROR(__xludf.DUMMYFUNCTION("""COMPUTED_VALUE"""),3600)</f>
        <v>3600</v>
      </c>
      <c r="K28" s="14" t="str">
        <f ca="1">IFERROR(__xludf.DUMMYFUNCTION("""COMPUTED_VALUE"""),"Frederikssund")</f>
        <v>Frederikssund</v>
      </c>
      <c r="L28" s="14" t="str">
        <f ca="1">IFERROR(__xludf.DUMMYFUNCTION("""COMPUTED_VALUE"""),"Frederikssund")</f>
        <v>Frederikssund</v>
      </c>
      <c r="M28" s="14" t="str">
        <f ca="1">IFERROR(__xludf.DUMMYFUNCTION("""COMPUTED_VALUE"""),"Nordsjælland")</f>
        <v>Nordsjælland</v>
      </c>
      <c r="N28" s="14" t="str">
        <f ca="1">IFERROR(__xludf.DUMMYFUNCTION("""COMPUTED_VALUE"""),"Hovedstaden")</f>
        <v>Hovedstaden</v>
      </c>
      <c r="O28" s="14">
        <f ca="1">IFERROR(__xludf.DUMMYFUNCTION("""COMPUTED_VALUE"""),71993600)</f>
        <v>71993600</v>
      </c>
      <c r="P28" s="14" t="str">
        <f ca="1">IFERROR(__xludf.DUMMYFUNCTION("""COMPUTED_VALUE"""),"3600@mailreal.dk")</f>
        <v>3600@mailreal.dk</v>
      </c>
      <c r="Q28" s="15" t="str">
        <f ca="1">IFERROR(__xludf.DUMMYFUNCTION("""COMPUTED_VALUE"""),"https://www.boliga.dk/maegler/18001")</f>
        <v>https://www.boliga.dk/maegler/18001</v>
      </c>
      <c r="R28" s="14" t="str">
        <f ca="1">IFERROR(__xludf.DUMMYFUNCTION("""COMPUTED_VALUE"""),"-")</f>
        <v>-</v>
      </c>
      <c r="S28" s="20" t="str">
        <f ca="1">IFERROR(__xludf.DUMMYFUNCTION("""COMPUTED_VALUE"""),"-")</f>
        <v>-</v>
      </c>
      <c r="T28" s="14" t="str">
        <f ca="1">IFERROR(__xludf.DUMMYFUNCTION("""COMPUTED_VALUE"""),"-")</f>
        <v>-</v>
      </c>
      <c r="U28" s="14">
        <f ca="1">IFERROR(__xludf.DUMMYFUNCTION("""COMPUTED_VALUE"""),11)</f>
        <v>11</v>
      </c>
      <c r="V28" s="14" t="str">
        <f ca="1">IFERROR(__xludf.DUMMYFUNCTION("""COMPUTED_VALUE"""),"3300, 3550, 3630, 4050")</f>
        <v>3300, 3550, 3630, 4050</v>
      </c>
      <c r="W28" s="14">
        <f ca="1">IFERROR(__xludf.DUMMYFUNCTION("""COMPUTED_VALUE"""),12)</f>
        <v>12</v>
      </c>
      <c r="X28" s="14" t="str">
        <f ca="1">IFERROR(__xludf.DUMMYFUNCTION("""COMPUTED_VALUE"""),"3550, 3600, 3650, 3630, 4050")</f>
        <v>3550, 3600, 3650, 3630, 4050</v>
      </c>
      <c r="Y28" s="14" t="str">
        <f ca="1">IFERROR(__xludf.DUMMYFUNCTION("""COMPUTED_VALUE"""),"ja")</f>
        <v>ja</v>
      </c>
      <c r="Z28" s="14" t="str">
        <f ca="1">IFERROR(__xludf.DUMMYFUNCTION("""COMPUTED_VALUE"""),"Vil bare gerne have fjernet et enkelt postnummer, som hun ikke vil være i")</f>
        <v>Vil bare gerne have fjernet et enkelt postnummer, som hun ikke vil være i</v>
      </c>
      <c r="AA28" s="16"/>
      <c r="AB28" s="14" t="str">
        <f ca="1">IFERROR(__xludf.DUMMYFUNCTION("""COMPUTED_VALUE"""),"x")</f>
        <v>x</v>
      </c>
      <c r="AC28" s="14" t="str">
        <f ca="1">IFERROR(__xludf.DUMMYFUNCTION("""COMPUTED_VALUE"""),"x")</f>
        <v>x</v>
      </c>
    </row>
    <row r="29" spans="1:29" ht="12.5" x14ac:dyDescent="0.25">
      <c r="A29" s="14" t="str">
        <f ca="1">IFERROR(__xludf.DUMMYFUNCTION("""COMPUTED_VALUE"""),"Camilla")</f>
        <v>Camilla</v>
      </c>
      <c r="B29" s="14" t="str">
        <f ca="1">IFERROR(__xludf.DUMMYFUNCTION("""COMPUTED_VALUE"""),"RealMæglerne Ølstykke &amp; Stenløse Viggo Axelsen ApS")</f>
        <v>RealMæglerne Ølstykke &amp; Stenløse Viggo Axelsen ApS</v>
      </c>
      <c r="C29" s="14">
        <f ca="1">IFERROR(__xludf.DUMMYFUNCTION("""COMPUTED_VALUE"""),32312527)</f>
        <v>32312527</v>
      </c>
      <c r="D29" s="14" t="str">
        <f ca="1">IFERROR(__xludf.DUMMYFUNCTION("""COMPUTED_VALUE"""),"MG-SJ: 3.499,-")</f>
        <v>MG-SJ: 3.499,-</v>
      </c>
      <c r="E29" s="14">
        <f ca="1">IFERROR(__xludf.DUMMYFUNCTION("""COMPUTED_VALUE"""),1202)</f>
        <v>1202</v>
      </c>
      <c r="F29" s="14" t="str">
        <f ca="1">IFERROR(__xludf.DUMMYFUNCTION("""COMPUTED_VALUE"""),"Henrik Knudsen")</f>
        <v>Henrik Knudsen</v>
      </c>
      <c r="G29" s="14" t="str">
        <f ca="1">IFERROR(__xludf.DUMMYFUNCTION("""COMPUTED_VALUE"""),"hk@mailreal.dk")</f>
        <v>hk@mailreal.dk</v>
      </c>
      <c r="H29" s="14" t="str">
        <f ca="1">IFERROR(__xludf.DUMMYFUNCTION("""COMPUTED_VALUE""")," 3032 9921")</f>
        <v xml:space="preserve"> 3032 9921</v>
      </c>
      <c r="I29" s="14" t="str">
        <f ca="1">IFERROR(__xludf.DUMMYFUNCTION("""COMPUTED_VALUE"""),"Ørnebjergvej 1")</f>
        <v>Ørnebjergvej 1</v>
      </c>
      <c r="J29" s="14">
        <f ca="1">IFERROR(__xludf.DUMMYFUNCTION("""COMPUTED_VALUE"""),3650)</f>
        <v>3650</v>
      </c>
      <c r="K29" s="14" t="str">
        <f ca="1">IFERROR(__xludf.DUMMYFUNCTION("""COMPUTED_VALUE"""),"Ølstykke")</f>
        <v>Ølstykke</v>
      </c>
      <c r="L29" s="14" t="str">
        <f ca="1">IFERROR(__xludf.DUMMYFUNCTION("""COMPUTED_VALUE"""),"Egedal")</f>
        <v>Egedal</v>
      </c>
      <c r="M29" s="14" t="str">
        <f ca="1">IFERROR(__xludf.DUMMYFUNCTION("""COMPUTED_VALUE"""),"Nordsjælland")</f>
        <v>Nordsjælland</v>
      </c>
      <c r="N29" s="14" t="str">
        <f ca="1">IFERROR(__xludf.DUMMYFUNCTION("""COMPUTED_VALUE"""),"Hovedstaden")</f>
        <v>Hovedstaden</v>
      </c>
      <c r="O29" s="14">
        <f ca="1">IFERROR(__xludf.DUMMYFUNCTION("""COMPUTED_VALUE"""),82828200)</f>
        <v>82828200</v>
      </c>
      <c r="P29" s="14" t="str">
        <f ca="1">IFERROR(__xludf.DUMMYFUNCTION("""COMPUTED_VALUE"""),"3650@mailreal.dk")</f>
        <v>3650@mailreal.dk</v>
      </c>
      <c r="Q29" s="15" t="str">
        <f ca="1">IFERROR(__xludf.DUMMYFUNCTION("""COMPUTED_VALUE"""),"https://www.boliga.dk/maegler/27451")</f>
        <v>https://www.boliga.dk/maegler/27451</v>
      </c>
      <c r="R29" s="14" t="str">
        <f ca="1">IFERROR(__xludf.DUMMYFUNCTION("""COMPUTED_VALUE"""),"-")</f>
        <v>-</v>
      </c>
      <c r="S29" s="18" t="str">
        <f ca="1">IFERROR(__xludf.DUMMYFUNCTION("""COMPUTED_VALUE"""),"-")</f>
        <v>-</v>
      </c>
      <c r="T29" s="14" t="str">
        <f ca="1">IFERROR(__xludf.DUMMYFUNCTION("""COMPUTED_VALUE"""),"-")</f>
        <v>-</v>
      </c>
      <c r="U29" s="14">
        <f ca="1">IFERROR(__xludf.DUMMYFUNCTION("""COMPUTED_VALUE"""),7)</f>
        <v>7</v>
      </c>
      <c r="V29" s="14" t="str">
        <f ca="1">IFERROR(__xludf.DUMMYFUNCTION("""COMPUTED_VALUE"""),"3650, 3550, 4040, 3600")</f>
        <v>3650, 3550, 4040, 3600</v>
      </c>
      <c r="W29" s="14">
        <f ca="1">IFERROR(__xludf.DUMMYFUNCTION("""COMPUTED_VALUE"""),18)</f>
        <v>18</v>
      </c>
      <c r="X29" s="14" t="str">
        <f ca="1">IFERROR(__xludf.DUMMYFUNCTION("""COMPUTED_VALUE"""),"3550, 3670, 3660, 3650, 3600, 4040")</f>
        <v>3550, 3670, 3660, 3650, 3600, 4040</v>
      </c>
      <c r="Y29" s="14" t="str">
        <f ca="1">IFERROR(__xludf.DUMMYFUNCTION("""COMPUTED_VALUE"""),"ja")</f>
        <v>ja</v>
      </c>
      <c r="Z29" s="14"/>
      <c r="AA29" s="16"/>
      <c r="AB29" s="14" t="str">
        <f ca="1">IFERROR(__xludf.DUMMYFUNCTION("""COMPUTED_VALUE"""),"x")</f>
        <v>x</v>
      </c>
      <c r="AC29" s="14" t="str">
        <f ca="1">IFERROR(__xludf.DUMMYFUNCTION("""COMPUTED_VALUE"""),"x")</f>
        <v>x</v>
      </c>
    </row>
    <row r="30" spans="1:29" ht="12.5" x14ac:dyDescent="0.25">
      <c r="A30" s="14" t="str">
        <f ca="1">IFERROR(__xludf.DUMMYFUNCTION("""COMPUTED_VALUE"""),"Camilla")</f>
        <v>Camilla</v>
      </c>
      <c r="B30" s="14" t="str">
        <f ca="1">IFERROR(__xludf.DUMMYFUNCTION("""COMPUTED_VALUE"""),"RealMæglerne Gurli Hansen")</f>
        <v>RealMæglerne Gurli Hansen</v>
      </c>
      <c r="C30" s="14">
        <f ca="1">IFERROR(__xludf.DUMMYFUNCTION("""COMPUTED_VALUE"""),14278745)</f>
        <v>14278745</v>
      </c>
      <c r="D30" s="14" t="str">
        <f ca="1">IFERROR(__xludf.DUMMYFUNCTION("""COMPUTED_VALUE"""),"MG-SJ: 3.499,-")</f>
        <v>MG-SJ: 3.499,-</v>
      </c>
      <c r="E30" s="14">
        <f ca="1">IFERROR(__xludf.DUMMYFUNCTION("""COMPUTED_VALUE"""),1202)</f>
        <v>1202</v>
      </c>
      <c r="F30" s="14" t="str">
        <f ca="1">IFERROR(__xludf.DUMMYFUNCTION("""COMPUTED_VALUE"""),"Gurli Hansen")</f>
        <v>Gurli Hansen</v>
      </c>
      <c r="G30" s="15" t="str">
        <f ca="1">IFERROR(__xludf.DUMMYFUNCTION("""COMPUTED_VALUE"""),"gurli@mailreal.dk")</f>
        <v>gurli@mailreal.dk</v>
      </c>
      <c r="H30" s="14" t="str">
        <f ca="1">IFERROR(__xludf.DUMMYFUNCTION("""COMPUTED_VALUE"""),"2144 3250")</f>
        <v>2144 3250</v>
      </c>
      <c r="I30" s="14" t="str">
        <f ca="1">IFERROR(__xludf.DUMMYFUNCTION("""COMPUTED_VALUE"""),"Nørregade 4")</f>
        <v>Nørregade 4</v>
      </c>
      <c r="J30" s="14">
        <f ca="1">IFERROR(__xludf.DUMMYFUNCTION("""COMPUTED_VALUE"""),3700)</f>
        <v>3700</v>
      </c>
      <c r="K30" s="14" t="str">
        <f ca="1">IFERROR(__xludf.DUMMYFUNCTION("""COMPUTED_VALUE"""),"Rønne")</f>
        <v>Rønne</v>
      </c>
      <c r="L30" s="14" t="str">
        <f ca="1">IFERROR(__xludf.DUMMYFUNCTION("""COMPUTED_VALUE"""),"Bornholm")</f>
        <v>Bornholm</v>
      </c>
      <c r="M30" s="14" t="str">
        <f ca="1">IFERROR(__xludf.DUMMYFUNCTION("""COMPUTED_VALUE"""),"Bornholm")</f>
        <v>Bornholm</v>
      </c>
      <c r="N30" s="14" t="str">
        <f ca="1">IFERROR(__xludf.DUMMYFUNCTION("""COMPUTED_VALUE"""),"Hovedstaden")</f>
        <v>Hovedstaden</v>
      </c>
      <c r="O30" s="14">
        <f ca="1">IFERROR(__xludf.DUMMYFUNCTION("""COMPUTED_VALUE"""),56957795)</f>
        <v>56957795</v>
      </c>
      <c r="P30" s="14" t="str">
        <f ca="1">IFERROR(__xludf.DUMMYFUNCTION("""COMPUTED_VALUE"""),"3700@mailreal.dk")</f>
        <v>3700@mailreal.dk</v>
      </c>
      <c r="Q30" s="15" t="str">
        <f ca="1">IFERROR(__xludf.DUMMYFUNCTION("""COMPUTED_VALUE"""),"https://www.boliga.dk/maegler/18402")</f>
        <v>https://www.boliga.dk/maegler/18402</v>
      </c>
      <c r="R30" s="14" t="str">
        <f ca="1">IFERROR(__xludf.DUMMYFUNCTION("""COMPUTED_VALUE"""),"-")</f>
        <v>-</v>
      </c>
      <c r="S30" s="18" t="str">
        <f ca="1">IFERROR(__xludf.DUMMYFUNCTION("""COMPUTED_VALUE"""),"-")</f>
        <v>-</v>
      </c>
      <c r="T30" s="14" t="str">
        <f ca="1">IFERROR(__xludf.DUMMYFUNCTION("""COMPUTED_VALUE"""),"-")</f>
        <v>-</v>
      </c>
      <c r="U30" s="14">
        <f ca="1">IFERROR(__xludf.DUMMYFUNCTION("""COMPUTED_VALUE"""),8)</f>
        <v>8</v>
      </c>
      <c r="V30" s="14" t="str">
        <f ca="1">IFERROR(__xludf.DUMMYFUNCTION("""COMPUTED_VALUE"""),"3720, 3700, 3760, 3730")</f>
        <v>3720, 3700, 3760, 3730</v>
      </c>
      <c r="W30" s="14">
        <f ca="1">IFERROR(__xludf.DUMMYFUNCTION("""COMPUTED_VALUE"""),13)</f>
        <v>13</v>
      </c>
      <c r="X30" s="14" t="str">
        <f ca="1">IFERROR(__xludf.DUMMYFUNCTION("""COMPUTED_VALUE"""),"3782, 3700, 3720, 3760, 3770")</f>
        <v>3782, 3700, 3720, 3760, 3770</v>
      </c>
      <c r="Y30" s="14" t="str">
        <f ca="1">IFERROR(__xludf.DUMMYFUNCTION("""COMPUTED_VALUE"""),"ja")</f>
        <v>ja</v>
      </c>
      <c r="Z30" s="14"/>
      <c r="AA30" s="16"/>
      <c r="AB30" s="14" t="str">
        <f ca="1">IFERROR(__xludf.DUMMYFUNCTION("""COMPUTED_VALUE"""),"x")</f>
        <v>x</v>
      </c>
      <c r="AC30" s="14" t="str">
        <f ca="1">IFERROR(__xludf.DUMMYFUNCTION("""COMPUTED_VALUE"""),"x")</f>
        <v>x</v>
      </c>
    </row>
    <row r="31" spans="1:29" ht="12.5" x14ac:dyDescent="0.25">
      <c r="A31" s="14" t="str">
        <f ca="1">IFERROR(__xludf.DUMMYFUNCTION("""COMPUTED_VALUE"""),"Camilla")</f>
        <v>Camilla</v>
      </c>
      <c r="B31" s="14" t="str">
        <f ca="1">IFERROR(__xludf.DUMMYFUNCTION("""COMPUTED_VALUE"""),"RealMæglerne på Bjerget")</f>
        <v>RealMæglerne på Bjerget</v>
      </c>
      <c r="C31" s="14">
        <f ca="1">IFERROR(__xludf.DUMMYFUNCTION("""COMPUTED_VALUE"""),29078149)</f>
        <v>29078149</v>
      </c>
      <c r="D31" s="14" t="str">
        <f ca="1">IFERROR(__xludf.DUMMYFUNCTION("""COMPUTED_VALUE"""),"MG-SJ: 3.499,-")</f>
        <v>MG-SJ: 3.499,-</v>
      </c>
      <c r="E31" s="14">
        <f ca="1">IFERROR(__xludf.DUMMYFUNCTION("""COMPUTED_VALUE"""),1202)</f>
        <v>1202</v>
      </c>
      <c r="F31" s="14" t="str">
        <f ca="1">IFERROR(__xludf.DUMMYFUNCTION("""COMPUTED_VALUE"""),"Anette Skaarup")</f>
        <v>Anette Skaarup</v>
      </c>
      <c r="G31" s="15" t="str">
        <f ca="1">IFERROR(__xludf.DUMMYFUNCTION("""COMPUTED_VALUE"""),"anette@mailreal.dk")</f>
        <v>anette@mailreal.dk</v>
      </c>
      <c r="H31" s="14" t="str">
        <f ca="1">IFERROR(__xludf.DUMMYFUNCTION("""COMPUTED_VALUE"""),"2246 5609")</f>
        <v>2246 5609</v>
      </c>
      <c r="I31" s="14" t="str">
        <f ca="1">IFERROR(__xludf.DUMMYFUNCTION("""COMPUTED_VALUE"""),"Clermontgade 10, st. mf.")</f>
        <v>Clermontgade 10, st. mf.</v>
      </c>
      <c r="J31" s="14">
        <f ca="1">IFERROR(__xludf.DUMMYFUNCTION("""COMPUTED_VALUE"""),4000)</f>
        <v>4000</v>
      </c>
      <c r="K31" s="14" t="str">
        <f ca="1">IFERROR(__xludf.DUMMYFUNCTION("""COMPUTED_VALUE"""),"Roskilde")</f>
        <v>Roskilde</v>
      </c>
      <c r="L31" s="14" t="str">
        <f ca="1">IFERROR(__xludf.DUMMYFUNCTION("""COMPUTED_VALUE"""),"Roskilde")</f>
        <v>Roskilde</v>
      </c>
      <c r="M31" s="14" t="str">
        <f ca="1">IFERROR(__xludf.DUMMYFUNCTION("""COMPUTED_VALUE"""),"Østsjælland")</f>
        <v>Østsjælland</v>
      </c>
      <c r="N31" s="14" t="str">
        <f ca="1">IFERROR(__xludf.DUMMYFUNCTION("""COMPUTED_VALUE"""),"Sjælland")</f>
        <v>Sjælland</v>
      </c>
      <c r="O31" s="14">
        <f ca="1">IFERROR(__xludf.DUMMYFUNCTION("""COMPUTED_VALUE"""),46365656)</f>
        <v>46365656</v>
      </c>
      <c r="P31" s="14" t="str">
        <f ca="1">IFERROR(__xludf.DUMMYFUNCTION("""COMPUTED_VALUE"""),"bjerget@mailreal.dk")</f>
        <v>bjerget@mailreal.dk</v>
      </c>
      <c r="Q31" s="15" t="str">
        <f ca="1">IFERROR(__xludf.DUMMYFUNCTION("""COMPUTED_VALUE"""),"https://www.boliga.dk/maegler/796")</f>
        <v>https://www.boliga.dk/maegler/796</v>
      </c>
      <c r="R31" s="14" t="str">
        <f ca="1">IFERROR(__xludf.DUMMYFUNCTION("""COMPUTED_VALUE"""),"-")</f>
        <v>-</v>
      </c>
      <c r="S31" s="18" t="str">
        <f ca="1">IFERROR(__xludf.DUMMYFUNCTION("""COMPUTED_VALUE"""),"-")</f>
        <v>-</v>
      </c>
      <c r="T31" s="14" t="str">
        <f ca="1">IFERROR(__xludf.DUMMYFUNCTION("""COMPUTED_VALUE"""),"-")</f>
        <v>-</v>
      </c>
      <c r="U31" s="14">
        <f ca="1">IFERROR(__xludf.DUMMYFUNCTION("""COMPUTED_VALUE"""),6)</f>
        <v>6</v>
      </c>
      <c r="V31" s="14">
        <f ca="1">IFERROR(__xludf.DUMMYFUNCTION("""COMPUTED_VALUE"""),4000)</f>
        <v>4000</v>
      </c>
      <c r="W31" s="14">
        <f ca="1">IFERROR(__xludf.DUMMYFUNCTION("""COMPUTED_VALUE"""),11)</f>
        <v>11</v>
      </c>
      <c r="X31" s="14" t="str">
        <f ca="1">IFERROR(__xludf.DUMMYFUNCTION("""COMPUTED_VALUE"""),"4060, 4330, 4000, 4070")</f>
        <v>4060, 4330, 4000, 4070</v>
      </c>
      <c r="Y31" s="14" t="str">
        <f ca="1">IFERROR(__xludf.DUMMYFUNCTION("""COMPUTED_VALUE"""),"ja")</f>
        <v>ja</v>
      </c>
      <c r="Z31" s="14"/>
      <c r="AA31" s="16"/>
      <c r="AB31" s="14" t="str">
        <f ca="1">IFERROR(__xludf.DUMMYFUNCTION("""COMPUTED_VALUE"""),"x")</f>
        <v>x</v>
      </c>
      <c r="AC31" s="14" t="str">
        <f ca="1">IFERROR(__xludf.DUMMYFUNCTION("""COMPUTED_VALUE"""),"x")</f>
        <v>x</v>
      </c>
    </row>
    <row r="32" spans="1:29" ht="12.5" x14ac:dyDescent="0.25">
      <c r="A32" s="14" t="str">
        <f ca="1">IFERROR(__xludf.DUMMYFUNCTION("""COMPUTED_VALUE"""),"Camilla")</f>
        <v>Camilla</v>
      </c>
      <c r="B32" s="14" t="str">
        <f ca="1">IFERROR(__xludf.DUMMYFUNCTION("""COMPUTED_VALUE"""),"RealMæglerne Holbæk")</f>
        <v>RealMæglerne Holbæk</v>
      </c>
      <c r="C32" s="14">
        <f ca="1">IFERROR(__xludf.DUMMYFUNCTION("""COMPUTED_VALUE"""),42548480)</f>
        <v>42548480</v>
      </c>
      <c r="D32" s="14" t="str">
        <f ca="1">IFERROR(__xludf.DUMMYFUNCTION("""COMPUTED_VALUE"""),"MG-SJ: 3.499,-")</f>
        <v>MG-SJ: 3.499,-</v>
      </c>
      <c r="E32" s="14">
        <f ca="1">IFERROR(__xludf.DUMMYFUNCTION("""COMPUTED_VALUE"""),1202)</f>
        <v>1202</v>
      </c>
      <c r="F32" s="14" t="str">
        <f ca="1">IFERROR(__xludf.DUMMYFUNCTION("""COMPUTED_VALUE"""),"Robin Rasmussen")</f>
        <v>Robin Rasmussen</v>
      </c>
      <c r="G32" s="15" t="str">
        <f ca="1">IFERROR(__xludf.DUMMYFUNCTION("""COMPUTED_VALUE"""),"robin@mailreal.dk")</f>
        <v>robin@mailreal.dk</v>
      </c>
      <c r="H32" s="14" t="str">
        <f ca="1">IFERROR(__xludf.DUMMYFUNCTION("""COMPUTED_VALUE"""),"2992 2020")</f>
        <v>2992 2020</v>
      </c>
      <c r="I32" s="14" t="str">
        <f ca="1">IFERROR(__xludf.DUMMYFUNCTION("""COMPUTED_VALUE"""),"Tækkemandsvej 1")</f>
        <v>Tækkemandsvej 1</v>
      </c>
      <c r="J32" s="14">
        <f ca="1">IFERROR(__xludf.DUMMYFUNCTION("""COMPUTED_VALUE"""),4300)</f>
        <v>4300</v>
      </c>
      <c r="K32" s="14" t="str">
        <f ca="1">IFERROR(__xludf.DUMMYFUNCTION("""COMPUTED_VALUE"""),"Holbæk")</f>
        <v>Holbæk</v>
      </c>
      <c r="L32" s="14" t="str">
        <f ca="1">IFERROR(__xludf.DUMMYFUNCTION("""COMPUTED_VALUE"""),"Holbæk")</f>
        <v>Holbæk</v>
      </c>
      <c r="M32" s="14" t="str">
        <f ca="1">IFERROR(__xludf.DUMMYFUNCTION("""COMPUTED_VALUE"""),"Vest- og Sydsjælland")</f>
        <v>Vest- og Sydsjælland</v>
      </c>
      <c r="N32" s="14" t="str">
        <f ca="1">IFERROR(__xludf.DUMMYFUNCTION("""COMPUTED_VALUE"""),"Sjælland")</f>
        <v>Sjælland</v>
      </c>
      <c r="O32" s="14" t="str">
        <f ca="1">IFERROR(__xludf.DUMMYFUNCTION("""COMPUTED_VALUE"""),"2992 2020")</f>
        <v>2992 2020</v>
      </c>
      <c r="P32" s="14" t="str">
        <f ca="1">IFERROR(__xludf.DUMMYFUNCTION("""COMPUTED_VALUE"""),"4300@mailreal.dk")</f>
        <v>4300@mailreal.dk</v>
      </c>
      <c r="Q32" s="15" t="str">
        <f ca="1">IFERROR(__xludf.DUMMYFUNCTION("""COMPUTED_VALUE"""),"https://www.boliga.dk/maegler/28838")</f>
        <v>https://www.boliga.dk/maegler/28838</v>
      </c>
      <c r="R32" s="14" t="str">
        <f ca="1">IFERROR(__xludf.DUMMYFUNCTION("""COMPUTED_VALUE"""),"-")</f>
        <v>-</v>
      </c>
      <c r="S32" s="18" t="str">
        <f ca="1">IFERROR(__xludf.DUMMYFUNCTION("""COMPUTED_VALUE"""),"-")</f>
        <v>-</v>
      </c>
      <c r="T32" s="14" t="str">
        <f ca="1">IFERROR(__xludf.DUMMYFUNCTION("""COMPUTED_VALUE"""),"-")</f>
        <v>-</v>
      </c>
      <c r="U32" s="14">
        <f ca="1">IFERROR(__xludf.DUMMYFUNCTION("""COMPUTED_VALUE"""),4)</f>
        <v>4</v>
      </c>
      <c r="V32" s="14" t="str">
        <f ca="1">IFERROR(__xludf.DUMMYFUNCTION("""COMPUTED_VALUE"""),"4450, 4532, 2860, 3630")</f>
        <v>4450, 4532, 2860, 3630</v>
      </c>
      <c r="W32" s="14" t="str">
        <f ca="1">IFERROR(__xludf.DUMMYFUNCTION("""COMPUTED_VALUE"""),"-")</f>
        <v>-</v>
      </c>
      <c r="X32" s="14" t="str">
        <f ca="1">IFERROR(__xludf.DUMMYFUNCTION("""COMPUTED_VALUE"""),"-")</f>
        <v>-</v>
      </c>
      <c r="Y32" s="14" t="str">
        <f ca="1">IFERROR(__xludf.DUMMYFUNCTION("""COMPUTED_VALUE"""),"ja")</f>
        <v>ja</v>
      </c>
      <c r="Z32" s="14"/>
      <c r="AA32" s="16"/>
      <c r="AB32" s="14" t="str">
        <f ca="1">IFERROR(__xludf.DUMMYFUNCTION("""COMPUTED_VALUE"""),"x")</f>
        <v>x</v>
      </c>
      <c r="AC32" s="14" t="str">
        <f ca="1">IFERROR(__xludf.DUMMYFUNCTION("""COMPUTED_VALUE"""),"x")</f>
        <v>x</v>
      </c>
    </row>
    <row r="33" spans="1:29" ht="12.5" x14ac:dyDescent="0.25">
      <c r="A33" s="14" t="str">
        <f ca="1">IFERROR(__xludf.DUMMYFUNCTION("""COMPUTED_VALUE"""),"Camilla")</f>
        <v>Camilla</v>
      </c>
      <c r="B33" s="14" t="str">
        <f ca="1">IFERROR(__xludf.DUMMYFUNCTION("""COMPUTED_VALUE"""),"RealMæglerne Klarstrup og Sørensen ApS")</f>
        <v>RealMæglerne Klarstrup og Sørensen ApS</v>
      </c>
      <c r="C33" s="14">
        <f ca="1">IFERROR(__xludf.DUMMYFUNCTION("""COMPUTED_VALUE"""),33066945)</f>
        <v>33066945</v>
      </c>
      <c r="D33" s="14" t="str">
        <f ca="1">IFERROR(__xludf.DUMMYFUNCTION("""COMPUTED_VALUE"""),"MG-SJ: 3.499,-")</f>
        <v>MG-SJ: 3.499,-</v>
      </c>
      <c r="E33" s="14">
        <f ca="1">IFERROR(__xludf.DUMMYFUNCTION("""COMPUTED_VALUE"""),1202)</f>
        <v>1202</v>
      </c>
      <c r="F33" s="14" t="str">
        <f ca="1">IFERROR(__xludf.DUMMYFUNCTION("""COMPUTED_VALUE"""),"Steffen Sørensen")</f>
        <v>Steffen Sørensen</v>
      </c>
      <c r="G33" s="14" t="str">
        <f ca="1">IFERROR(__xludf.DUMMYFUNCTION("""COMPUTED_VALUE"""),"sws@mailreal.dk")</f>
        <v>sws@mailreal.dk</v>
      </c>
      <c r="H33" s="14" t="str">
        <f ca="1">IFERROR(__xludf.DUMMYFUNCTION("""COMPUTED_VALUE"""),"5171 3620")</f>
        <v>5171 3620</v>
      </c>
      <c r="I33" s="14" t="str">
        <f ca="1">IFERROR(__xludf.DUMMYFUNCTION("""COMPUTED_VALUE"""),"Torvet 3, Ubby")</f>
        <v>Torvet 3, Ubby</v>
      </c>
      <c r="J33" s="14">
        <f ca="1">IFERROR(__xludf.DUMMYFUNCTION("""COMPUTED_VALUE"""),4490)</f>
        <v>4490</v>
      </c>
      <c r="K33" s="14" t="str">
        <f ca="1">IFERROR(__xludf.DUMMYFUNCTION("""COMPUTED_VALUE"""),"Jerslev Sj.")</f>
        <v>Jerslev Sj.</v>
      </c>
      <c r="L33" s="14" t="str">
        <f ca="1">IFERROR(__xludf.DUMMYFUNCTION("""COMPUTED_VALUE"""),"Kalundborg")</f>
        <v>Kalundborg</v>
      </c>
      <c r="M33" s="14" t="str">
        <f ca="1">IFERROR(__xludf.DUMMYFUNCTION("""COMPUTED_VALUE"""),"Vest- og Sydsjælland")</f>
        <v>Vest- og Sydsjælland</v>
      </c>
      <c r="N33" s="14" t="str">
        <f ca="1">IFERROR(__xludf.DUMMYFUNCTION("""COMPUTED_VALUE"""),"Sjælland")</f>
        <v>Sjælland</v>
      </c>
      <c r="O33" s="14">
        <f ca="1">IFERROR(__xludf.DUMMYFUNCTION("""COMPUTED_VALUE"""),59594042)</f>
        <v>59594042</v>
      </c>
      <c r="P33" s="14" t="str">
        <f ca="1">IFERROR(__xludf.DUMMYFUNCTION("""COMPUTED_VALUE"""),"4490@mailreal.dk")</f>
        <v>4490@mailreal.dk</v>
      </c>
      <c r="Q33" s="15" t="str">
        <f ca="1">IFERROR(__xludf.DUMMYFUNCTION("""COMPUTED_VALUE"""),"https://www.boliga.dk/maegler/1083")</f>
        <v>https://www.boliga.dk/maegler/1083</v>
      </c>
      <c r="R33" s="14" t="str">
        <f ca="1">IFERROR(__xludf.DUMMYFUNCTION("""COMPUTED_VALUE"""),"-")</f>
        <v>-</v>
      </c>
      <c r="S33" s="18" t="str">
        <f ca="1">IFERROR(__xludf.DUMMYFUNCTION("""COMPUTED_VALUE"""),"-")</f>
        <v>-</v>
      </c>
      <c r="T33" s="14" t="str">
        <f ca="1">IFERROR(__xludf.DUMMYFUNCTION("""COMPUTED_VALUE"""),"-")</f>
        <v>-</v>
      </c>
      <c r="U33" s="14">
        <f ca="1">IFERROR(__xludf.DUMMYFUNCTION("""COMPUTED_VALUE"""),34)</f>
        <v>34</v>
      </c>
      <c r="V33" s="14" t="str">
        <f ca="1">IFERROR(__xludf.DUMMYFUNCTION("""COMPUTED_VALUE"""),"4200, 4400, 4480, 4281, 4470, 4291, 4490")</f>
        <v>4200, 4400, 4480, 4281, 4470, 4291, 4490</v>
      </c>
      <c r="W33" s="14">
        <f ca="1">IFERROR(__xludf.DUMMYFUNCTION("""COMPUTED_VALUE"""),52)</f>
        <v>52</v>
      </c>
      <c r="X33" s="14" t="str">
        <f ca="1">IFERROR(__xludf.DUMMYFUNCTION("""COMPUTED_VALUE"""),"4281, 4480, 4270, 4470, 4400, 4490, 4593")</f>
        <v>4281, 4480, 4270, 4470, 4400, 4490, 4593</v>
      </c>
      <c r="Y33" s="14" t="str">
        <f ca="1">IFERROR(__xludf.DUMMYFUNCTION("""COMPUTED_VALUE"""),"ja")</f>
        <v>ja</v>
      </c>
      <c r="Z33" s="14"/>
      <c r="AA33" s="16"/>
      <c r="AB33" s="14" t="str">
        <f ca="1">IFERROR(__xludf.DUMMYFUNCTION("""COMPUTED_VALUE"""),"x")</f>
        <v>x</v>
      </c>
      <c r="AC33" s="14" t="str">
        <f ca="1">IFERROR(__xludf.DUMMYFUNCTION("""COMPUTED_VALUE"""),"x")</f>
        <v>x</v>
      </c>
    </row>
    <row r="34" spans="1:29" ht="12.5" x14ac:dyDescent="0.25">
      <c r="A34" s="14" t="str">
        <f ca="1">IFERROR(__xludf.DUMMYFUNCTION("""COMPUTED_VALUE"""),"Camilla")</f>
        <v>Camilla</v>
      </c>
      <c r="B34" s="14" t="str">
        <f ca="1">IFERROR(__xludf.DUMMYFUNCTION("""COMPUTED_VALUE"""),"RealMæglerne Køge v. Riis, Lindberg &amp; Sahin ApS")</f>
        <v>RealMæglerne Køge v. Riis, Lindberg &amp; Sahin ApS</v>
      </c>
      <c r="C34" s="14">
        <f ca="1">IFERROR(__xludf.DUMMYFUNCTION("""COMPUTED_VALUE"""),43310119)</f>
        <v>43310119</v>
      </c>
      <c r="D34" s="14" t="str">
        <f ca="1">IFERROR(__xludf.DUMMYFUNCTION("""COMPUTED_VALUE"""),"MG-SJ: 3.499,-")</f>
        <v>MG-SJ: 3.499,-</v>
      </c>
      <c r="E34" s="14">
        <f ca="1">IFERROR(__xludf.DUMMYFUNCTION("""COMPUTED_VALUE"""),1202)</f>
        <v>1202</v>
      </c>
      <c r="F34" s="14" t="str">
        <f ca="1">IFERROR(__xludf.DUMMYFUNCTION("""COMPUTED_VALUE"""),"Anders Riis")</f>
        <v>Anders Riis</v>
      </c>
      <c r="G34" s="14" t="str">
        <f ca="1">IFERROR(__xludf.DUMMYFUNCTION("""COMPUTED_VALUE"""),"anders@mailreal.dk")</f>
        <v>anders@mailreal.dk</v>
      </c>
      <c r="H34" s="14" t="str">
        <f ca="1">IFERROR(__xludf.DUMMYFUNCTION("""COMPUTED_VALUE"""),"5072 6065")</f>
        <v>5072 6065</v>
      </c>
      <c r="I34" s="14" t="str">
        <f ca="1">IFERROR(__xludf.DUMMYFUNCTION("""COMPUTED_VALUE"""),"Torvebyen 11")</f>
        <v>Torvebyen 11</v>
      </c>
      <c r="J34" s="14">
        <f ca="1">IFERROR(__xludf.DUMMYFUNCTION("""COMPUTED_VALUE"""),4600)</f>
        <v>4600</v>
      </c>
      <c r="K34" s="14" t="str">
        <f ca="1">IFERROR(__xludf.DUMMYFUNCTION("""COMPUTED_VALUE"""),"Køge")</f>
        <v>Køge</v>
      </c>
      <c r="L34" s="14" t="str">
        <f ca="1">IFERROR(__xludf.DUMMYFUNCTION("""COMPUTED_VALUE"""),"Køge")</f>
        <v>Køge</v>
      </c>
      <c r="M34" s="14" t="str">
        <f ca="1">IFERROR(__xludf.DUMMYFUNCTION("""COMPUTED_VALUE"""),"Østsjælland")</f>
        <v>Østsjælland</v>
      </c>
      <c r="N34" s="14" t="str">
        <f ca="1">IFERROR(__xludf.DUMMYFUNCTION("""COMPUTED_VALUE"""),"Sjælland")</f>
        <v>Sjælland</v>
      </c>
      <c r="O34" s="14" t="str">
        <f ca="1">IFERROR(__xludf.DUMMYFUNCTION("""COMPUTED_VALUE"""),"3224 1200")</f>
        <v>3224 1200</v>
      </c>
      <c r="P34" s="15" t="str">
        <f ca="1">IFERROR(__xludf.DUMMYFUNCTION("""COMPUTED_VALUE"""),"koege@mailreal.dk")</f>
        <v>koege@mailreal.dk</v>
      </c>
      <c r="Q34" s="15" t="str">
        <f ca="1">IFERROR(__xludf.DUMMYFUNCTION("""COMPUTED_VALUE"""),"https://www.boliga.dk/maegler/29124")</f>
        <v>https://www.boliga.dk/maegler/29124</v>
      </c>
      <c r="R34" s="14" t="str">
        <f ca="1">IFERROR(__xludf.DUMMYFUNCTION("""COMPUTED_VALUE"""),"-")</f>
        <v>-</v>
      </c>
      <c r="S34" s="20" t="str">
        <f ca="1">IFERROR(__xludf.DUMMYFUNCTION("""COMPUTED_VALUE"""),"-")</f>
        <v>-</v>
      </c>
      <c r="T34" s="14" t="str">
        <f ca="1">IFERROR(__xludf.DUMMYFUNCTION("""COMPUTED_VALUE"""),"-")</f>
        <v>-</v>
      </c>
      <c r="U34" s="14">
        <f ca="1">IFERROR(__xludf.DUMMYFUNCTION("""COMPUTED_VALUE"""),22)</f>
        <v>22</v>
      </c>
      <c r="V34" s="14" t="str">
        <f ca="1">IFERROR(__xludf.DUMMYFUNCTION("""COMPUTED_VALUE"""),"4632, 4623, 4652, 2680, 4673, 4660, 4140, 4760, 4654, 4671, 4600, 4681")</f>
        <v>4632, 4623, 4652, 2680, 4673, 4660, 4140, 4760, 4654, 4671, 4600, 4681</v>
      </c>
      <c r="W34" s="14">
        <f ca="1">IFERROR(__xludf.DUMMYFUNCTION("""COMPUTED_VALUE"""),13)</f>
        <v>13</v>
      </c>
      <c r="X34" s="14" t="str">
        <f ca="1">IFERROR(__xludf.DUMMYFUNCTION("""COMPUTED_VALUE"""),"4632, 4623, 4600, 4671, 2300, 4681")</f>
        <v>4632, 4623, 4600, 4671, 2300, 4681</v>
      </c>
      <c r="Y34" s="14" t="str">
        <f ca="1">IFERROR(__xludf.DUMMYFUNCTION("""COMPUTED_VALUE"""),"ja")</f>
        <v>ja</v>
      </c>
      <c r="Z34" s="14" t="str">
        <f ca="1">IFERROR(__xludf.DUMMYFUNCTION("""COMPUTED_VALUE"""),"Dilsad er aftale-kontakt")</f>
        <v>Dilsad er aftale-kontakt</v>
      </c>
      <c r="AA34" s="16"/>
      <c r="AB34" s="14" t="str">
        <f ca="1">IFERROR(__xludf.DUMMYFUNCTION("""COMPUTED_VALUE"""),"x")</f>
        <v>x</v>
      </c>
      <c r="AC34" s="14" t="str">
        <f ca="1">IFERROR(__xludf.DUMMYFUNCTION("""COMPUTED_VALUE"""),"x")</f>
        <v>x</v>
      </c>
    </row>
    <row r="35" spans="1:29" ht="12.5" x14ac:dyDescent="0.25">
      <c r="A35" s="14" t="str">
        <f ca="1">IFERROR(__xludf.DUMMYFUNCTION("""COMPUTED_VALUE"""),"Camilla")</f>
        <v>Camilla</v>
      </c>
      <c r="B35" s="14" t="str">
        <f ca="1">IFERROR(__xludf.DUMMYFUNCTION("""COMPUTED_VALUE"""),"RealMæglerne Faxe ApS")</f>
        <v>RealMæglerne Faxe ApS</v>
      </c>
      <c r="C35" s="14">
        <f ca="1">IFERROR(__xludf.DUMMYFUNCTION("""COMPUTED_VALUE"""),39894971)</f>
        <v>39894971</v>
      </c>
      <c r="D35" s="14" t="str">
        <f ca="1">IFERROR(__xludf.DUMMYFUNCTION("""COMPUTED_VALUE"""),"MG-SJ: 3.499,-")</f>
        <v>MG-SJ: 3.499,-</v>
      </c>
      <c r="E35" s="14">
        <f ca="1">IFERROR(__xludf.DUMMYFUNCTION("""COMPUTED_VALUE"""),1202)</f>
        <v>1202</v>
      </c>
      <c r="F35" s="14" t="str">
        <f ca="1">IFERROR(__xludf.DUMMYFUNCTION("""COMPUTED_VALUE"""),"Mogens Hansen")</f>
        <v>Mogens Hansen</v>
      </c>
      <c r="G35" s="14" t="str">
        <f ca="1">IFERROR(__xludf.DUMMYFUNCTION("""COMPUTED_VALUE"""),"mh@mailreal.dk")</f>
        <v>mh@mailreal.dk</v>
      </c>
      <c r="H35" s="14" t="str">
        <f ca="1">IFERROR(__xludf.DUMMYFUNCTION("""COMPUTED_VALUE"""),"3073 5701")</f>
        <v>3073 5701</v>
      </c>
      <c r="I35" s="14" t="str">
        <f ca="1">IFERROR(__xludf.DUMMYFUNCTION("""COMPUTED_VALUE"""),"Rønnedevej 62 D")</f>
        <v>Rønnedevej 62 D</v>
      </c>
      <c r="J35" s="14">
        <f ca="1">IFERROR(__xludf.DUMMYFUNCTION("""COMPUTED_VALUE"""),4640)</f>
        <v>4640</v>
      </c>
      <c r="K35" s="14" t="str">
        <f ca="1">IFERROR(__xludf.DUMMYFUNCTION("""COMPUTED_VALUE"""),"Faxe")</f>
        <v>Faxe</v>
      </c>
      <c r="L35" s="14" t="str">
        <f ca="1">IFERROR(__xludf.DUMMYFUNCTION("""COMPUTED_VALUE"""),"Faxe")</f>
        <v>Faxe</v>
      </c>
      <c r="M35" s="14" t="str">
        <f ca="1">IFERROR(__xludf.DUMMYFUNCTION("""COMPUTED_VALUE"""),"Vest- og Sydsjælland")</f>
        <v>Vest- og Sydsjælland</v>
      </c>
      <c r="N35" s="14" t="str">
        <f ca="1">IFERROR(__xludf.DUMMYFUNCTION("""COMPUTED_VALUE"""),"Sjælland")</f>
        <v>Sjælland</v>
      </c>
      <c r="O35" s="14">
        <f ca="1">IFERROR(__xludf.DUMMYFUNCTION("""COMPUTED_VALUE"""),56715000)</f>
        <v>56715000</v>
      </c>
      <c r="P35" s="14" t="str">
        <f ca="1">IFERROR(__xludf.DUMMYFUNCTION("""COMPUTED_VALUE"""),"4640@mailreal.dk")</f>
        <v>4640@mailreal.dk</v>
      </c>
      <c r="Q35" s="15" t="str">
        <f ca="1">IFERROR(__xludf.DUMMYFUNCTION("""COMPUTED_VALUE"""),"https://www.boliga.dk/maegler/25181")</f>
        <v>https://www.boliga.dk/maegler/25181</v>
      </c>
      <c r="R35" s="14" t="str">
        <f ca="1">IFERROR(__xludf.DUMMYFUNCTION("""COMPUTED_VALUE"""),"-")</f>
        <v>-</v>
      </c>
      <c r="S35" s="18" t="str">
        <f ca="1">IFERROR(__xludf.DUMMYFUNCTION("""COMPUTED_VALUE"""),"-")</f>
        <v>-</v>
      </c>
      <c r="T35" s="14" t="str">
        <f ca="1">IFERROR(__xludf.DUMMYFUNCTION("""COMPUTED_VALUE"""),"-")</f>
        <v>-</v>
      </c>
      <c r="U35" s="14">
        <f ca="1">IFERROR(__xludf.DUMMYFUNCTION("""COMPUTED_VALUE"""),12)</f>
        <v>12</v>
      </c>
      <c r="V35" s="14" t="str">
        <f ca="1">IFERROR(__xludf.DUMMYFUNCTION("""COMPUTED_VALUE"""),"4660, 4654, 4640, 4800, 4683")</f>
        <v>4660, 4654, 4640, 4800, 4683</v>
      </c>
      <c r="W35" s="14">
        <f ca="1">IFERROR(__xludf.DUMMYFUNCTION("""COMPUTED_VALUE"""),13)</f>
        <v>13</v>
      </c>
      <c r="X35" s="14" t="str">
        <f ca="1">IFERROR(__xludf.DUMMYFUNCTION("""COMPUTED_VALUE"""),"4733, 4673, 4654, 4640, 4683")</f>
        <v>4733, 4673, 4654, 4640, 4683</v>
      </c>
      <c r="Y35" s="14" t="str">
        <f ca="1">IFERROR(__xludf.DUMMYFUNCTION("""COMPUTED_VALUE"""),"ja")</f>
        <v>ja</v>
      </c>
      <c r="Z35" s="14" t="str">
        <f ca="1">IFERROR(__xludf.DUMMYFUNCTION("""COMPUTED_VALUE"""),"Har også Haslev")</f>
        <v>Har også Haslev</v>
      </c>
      <c r="AA35" s="16"/>
      <c r="AB35" s="14" t="str">
        <f ca="1">IFERROR(__xludf.DUMMYFUNCTION("""COMPUTED_VALUE"""),"x")</f>
        <v>x</v>
      </c>
      <c r="AC35" s="14" t="str">
        <f ca="1">IFERROR(__xludf.DUMMYFUNCTION("""COMPUTED_VALUE"""),"x")</f>
        <v>x</v>
      </c>
    </row>
    <row r="36" spans="1:29" ht="12.5" x14ac:dyDescent="0.25">
      <c r="A36" s="14" t="str">
        <f ca="1">IFERROR(__xludf.DUMMYFUNCTION("""COMPUTED_VALUE"""),"Camilla")</f>
        <v>Camilla</v>
      </c>
      <c r="B36" s="14" t="str">
        <f ca="1">IFERROR(__xludf.DUMMYFUNCTION("""COMPUTED_VALUE"""),"RealMæglerne Næstved")</f>
        <v>RealMæglerne Næstved</v>
      </c>
      <c r="C36" s="14">
        <f ca="1">IFERROR(__xludf.DUMMYFUNCTION("""COMPUTED_VALUE"""),36396598)</f>
        <v>36396598</v>
      </c>
      <c r="D36" s="14" t="str">
        <f ca="1">IFERROR(__xludf.DUMMYFUNCTION("""COMPUTED_VALUE"""),"MG-SJ: 3.499,-")</f>
        <v>MG-SJ: 3.499,-</v>
      </c>
      <c r="E36" s="14">
        <f ca="1">IFERROR(__xludf.DUMMYFUNCTION("""COMPUTED_VALUE"""),1202)</f>
        <v>1202</v>
      </c>
      <c r="F36" s="14" t="str">
        <f ca="1">IFERROR(__xludf.DUMMYFUNCTION("""COMPUTED_VALUE"""),"Mogens Hansen")</f>
        <v>Mogens Hansen</v>
      </c>
      <c r="G36" s="14" t="str">
        <f ca="1">IFERROR(__xludf.DUMMYFUNCTION("""COMPUTED_VALUE"""),"mh@mailreal.dk")</f>
        <v>mh@mailreal.dk</v>
      </c>
      <c r="H36" s="14" t="str">
        <f ca="1">IFERROR(__xludf.DUMMYFUNCTION("""COMPUTED_VALUE"""),"3073 5701")</f>
        <v>3073 5701</v>
      </c>
      <c r="I36" s="14" t="str">
        <f ca="1">IFERROR(__xludf.DUMMYFUNCTION("""COMPUTED_VALUE"""),"Østergade 8")</f>
        <v>Østergade 8</v>
      </c>
      <c r="J36" s="14">
        <f ca="1">IFERROR(__xludf.DUMMYFUNCTION("""COMPUTED_VALUE"""),4700)</f>
        <v>4700</v>
      </c>
      <c r="K36" s="14" t="str">
        <f ca="1">IFERROR(__xludf.DUMMYFUNCTION("""COMPUTED_VALUE"""),"Næstved")</f>
        <v>Næstved</v>
      </c>
      <c r="L36" s="14" t="str">
        <f ca="1">IFERROR(__xludf.DUMMYFUNCTION("""COMPUTED_VALUE"""),"Næstved")</f>
        <v>Næstved</v>
      </c>
      <c r="M36" s="14" t="str">
        <f ca="1">IFERROR(__xludf.DUMMYFUNCTION("""COMPUTED_VALUE"""),"Vest- og Sydsjælland")</f>
        <v>Vest- og Sydsjælland</v>
      </c>
      <c r="N36" s="14" t="str">
        <f ca="1">IFERROR(__xludf.DUMMYFUNCTION("""COMPUTED_VALUE"""),"Sjælland")</f>
        <v>Sjælland</v>
      </c>
      <c r="O36" s="14">
        <f ca="1">IFERROR(__xludf.DUMMYFUNCTION("""COMPUTED_VALUE"""),32117700)</f>
        <v>32117700</v>
      </c>
      <c r="P36" s="14" t="str">
        <f ca="1">IFERROR(__xludf.DUMMYFUNCTION("""COMPUTED_VALUE"""),"4700@mailreal.dk")</f>
        <v>4700@mailreal.dk</v>
      </c>
      <c r="Q36" s="15" t="str">
        <f ca="1">IFERROR(__xludf.DUMMYFUNCTION("""COMPUTED_VALUE"""),"https://www.boliga.dk/maegler/18738")</f>
        <v>https://www.boliga.dk/maegler/18738</v>
      </c>
      <c r="R36" s="14" t="str">
        <f ca="1">IFERROR(__xludf.DUMMYFUNCTION("""COMPUTED_VALUE"""),"-")</f>
        <v>-</v>
      </c>
      <c r="S36" s="18" t="str">
        <f ca="1">IFERROR(__xludf.DUMMYFUNCTION("""COMPUTED_VALUE"""),"-")</f>
        <v>-</v>
      </c>
      <c r="T36" s="14" t="str">
        <f ca="1">IFERROR(__xludf.DUMMYFUNCTION("""COMPUTED_VALUE"""),"-")</f>
        <v>-</v>
      </c>
      <c r="U36" s="14">
        <f ca="1">IFERROR(__xludf.DUMMYFUNCTION("""COMPUTED_VALUE"""),8)</f>
        <v>8</v>
      </c>
      <c r="V36" s="14" t="str">
        <f ca="1">IFERROR(__xludf.DUMMYFUNCTION("""COMPUTED_VALUE"""),"4262, 4684, 4160, 4700")</f>
        <v>4262, 4684, 4160, 4700</v>
      </c>
      <c r="W36" s="14">
        <f ca="1">IFERROR(__xludf.DUMMYFUNCTION("""COMPUTED_VALUE"""),23)</f>
        <v>23</v>
      </c>
      <c r="X36" s="14" t="str">
        <f ca="1">IFERROR(__xludf.DUMMYFUNCTION("""COMPUTED_VALUE"""),"4160, 4250, 4654, 4736, 4700, 4684")</f>
        <v>4160, 4250, 4654, 4736, 4700, 4684</v>
      </c>
      <c r="Y36" s="14" t="str">
        <f ca="1">IFERROR(__xludf.DUMMYFUNCTION("""COMPUTED_VALUE"""),"ja")</f>
        <v>ja</v>
      </c>
      <c r="Z36" s="14"/>
      <c r="AA36" s="16"/>
      <c r="AB36" s="14" t="str">
        <f ca="1">IFERROR(__xludf.DUMMYFUNCTION("""COMPUTED_VALUE"""),"x")</f>
        <v>x</v>
      </c>
      <c r="AC36" s="14" t="str">
        <f ca="1">IFERROR(__xludf.DUMMYFUNCTION("""COMPUTED_VALUE"""),"x")</f>
        <v>x</v>
      </c>
    </row>
    <row r="37" spans="1:29" ht="12.5" x14ac:dyDescent="0.25">
      <c r="A37" s="14" t="str">
        <f ca="1">IFERROR(__xludf.DUMMYFUNCTION("""COMPUTED_VALUE"""),"Camilla")</f>
        <v>Camilla</v>
      </c>
      <c r="B37" s="14" t="str">
        <f ca="1">IFERROR(__xludf.DUMMYFUNCTION("""COMPUTED_VALUE"""),"RealMæglerne Haslev ")</f>
        <v xml:space="preserve">RealMæglerne Haslev </v>
      </c>
      <c r="C37" s="14">
        <f ca="1">IFERROR(__xludf.DUMMYFUNCTION("""COMPUTED_VALUE"""),39894971)</f>
        <v>39894971</v>
      </c>
      <c r="D37" s="14" t="str">
        <f ca="1">IFERROR(__xludf.DUMMYFUNCTION("""COMPUTED_VALUE"""),"MG-SJ: 3.499,-")</f>
        <v>MG-SJ: 3.499,-</v>
      </c>
      <c r="E37" s="14">
        <f ca="1">IFERROR(__xludf.DUMMYFUNCTION("""COMPUTED_VALUE"""),1202)</f>
        <v>1202</v>
      </c>
      <c r="F37" s="14" t="str">
        <f ca="1">IFERROR(__xludf.DUMMYFUNCTION("""COMPUTED_VALUE"""),"Mogens Hansen ")</f>
        <v xml:space="preserve">Mogens Hansen </v>
      </c>
      <c r="G37" s="14" t="str">
        <f ca="1">IFERROR(__xludf.DUMMYFUNCTION("""COMPUTED_VALUE"""),"mh@mailreal.dk")</f>
        <v>mh@mailreal.dk</v>
      </c>
      <c r="H37" s="14" t="str">
        <f ca="1">IFERROR(__xludf.DUMMYFUNCTION("""COMPUTED_VALUE"""),"3073 5701")</f>
        <v>3073 5701</v>
      </c>
      <c r="I37" s="14"/>
      <c r="J37" s="14"/>
      <c r="K37" s="14"/>
      <c r="L37" s="14"/>
      <c r="M37" s="14"/>
      <c r="N37" s="14"/>
      <c r="O37" s="14"/>
      <c r="P37" s="14"/>
      <c r="Q37" s="15" t="str">
        <f ca="1">IFERROR(__xludf.DUMMYFUNCTION("""COMPUTED_VALUE"""),"https://www.boliga.dk/maegler/29046")</f>
        <v>https://www.boliga.dk/maegler/29046</v>
      </c>
      <c r="R37" s="14"/>
      <c r="S37" s="18"/>
      <c r="T37" s="14"/>
      <c r="U37" s="14"/>
      <c r="V37" s="14"/>
      <c r="W37" s="14"/>
      <c r="X37" s="14"/>
      <c r="Y37" s="14" t="str">
        <f ca="1">IFERROR(__xludf.DUMMYFUNCTION("""COMPUTED_VALUE"""),"ja")</f>
        <v>ja</v>
      </c>
      <c r="Z37" s="14"/>
      <c r="AA37" s="16"/>
      <c r="AB37" s="14" t="str">
        <f ca="1">IFERROR(__xludf.DUMMYFUNCTION("""COMPUTED_VALUE"""),"x")</f>
        <v>x</v>
      </c>
      <c r="AC37" s="14" t="str">
        <f ca="1">IFERROR(__xludf.DUMMYFUNCTION("""COMPUTED_VALUE"""),"x")</f>
        <v>x</v>
      </c>
    </row>
    <row r="38" spans="1:29" ht="12.5" x14ac:dyDescent="0.25">
      <c r="A38" s="14" t="str">
        <f ca="1">IFERROR(__xludf.DUMMYFUNCTION("""COMPUTED_VALUE"""),"Camilla")</f>
        <v>Camilla</v>
      </c>
      <c r="B38" s="14" t="str">
        <f ca="1">IFERROR(__xludf.DUMMYFUNCTION("""COMPUTED_VALUE"""),"RealMæglerne Kim K. Pedersen")</f>
        <v>RealMæglerne Kim K. Pedersen</v>
      </c>
      <c r="C38" s="14">
        <f ca="1">IFERROR(__xludf.DUMMYFUNCTION("""COMPUTED_VALUE"""),19715078)</f>
        <v>19715078</v>
      </c>
      <c r="D38" s="14" t="str">
        <f ca="1">IFERROR(__xludf.DUMMYFUNCTION("""COMPUTED_VALUE"""),"MG-SJ: 3.499,-")</f>
        <v>MG-SJ: 3.499,-</v>
      </c>
      <c r="E38" s="14">
        <f ca="1">IFERROR(__xludf.DUMMYFUNCTION("""COMPUTED_VALUE"""),1202)</f>
        <v>1202</v>
      </c>
      <c r="F38" s="14" t="str">
        <f ca="1">IFERROR(__xludf.DUMMYFUNCTION("""COMPUTED_VALUE"""),"Kim Pedersen")</f>
        <v>Kim Pedersen</v>
      </c>
      <c r="G38" s="14" t="str">
        <f ca="1">IFERROR(__xludf.DUMMYFUNCTION("""COMPUTED_VALUE"""),"kp@mailreal.dk")</f>
        <v>kp@mailreal.dk</v>
      </c>
      <c r="H38" s="14" t="str">
        <f ca="1">IFERROR(__xludf.DUMMYFUNCTION("""COMPUTED_VALUE"""),"2061 8675")</f>
        <v>2061 8675</v>
      </c>
      <c r="I38" s="14" t="str">
        <f ca="1">IFERROR(__xludf.DUMMYFUNCTION("""COMPUTED_VALUE"""),"Adelgade 44")</f>
        <v>Adelgade 44</v>
      </c>
      <c r="J38" s="14">
        <f ca="1">IFERROR(__xludf.DUMMYFUNCTION("""COMPUTED_VALUE"""),4720)</f>
        <v>4720</v>
      </c>
      <c r="K38" s="14" t="str">
        <f ca="1">IFERROR(__xludf.DUMMYFUNCTION("""COMPUTED_VALUE"""),"Præstø")</f>
        <v>Præstø</v>
      </c>
      <c r="L38" s="14" t="str">
        <f ca="1">IFERROR(__xludf.DUMMYFUNCTION("""COMPUTED_VALUE"""),"Vordingborg")</f>
        <v>Vordingborg</v>
      </c>
      <c r="M38" s="14" t="str">
        <f ca="1">IFERROR(__xludf.DUMMYFUNCTION("""COMPUTED_VALUE"""),"Vest- og Sydsjælland")</f>
        <v>Vest- og Sydsjælland</v>
      </c>
      <c r="N38" s="14" t="str">
        <f ca="1">IFERROR(__xludf.DUMMYFUNCTION("""COMPUTED_VALUE"""),"Sjælland")</f>
        <v>Sjælland</v>
      </c>
      <c r="O38" s="14">
        <f ca="1">IFERROR(__xludf.DUMMYFUNCTION("""COMPUTED_VALUE"""),55991417)</f>
        <v>55991417</v>
      </c>
      <c r="P38" s="14" t="str">
        <f ca="1">IFERROR(__xludf.DUMMYFUNCTION("""COMPUTED_VALUE"""),"4720@mailreal.dk")</f>
        <v>4720@mailreal.dk</v>
      </c>
      <c r="Q38" s="15" t="str">
        <f ca="1">IFERROR(__xludf.DUMMYFUNCTION("""COMPUTED_VALUE"""),"https://www.boliga.dk/maegler/494")</f>
        <v>https://www.boliga.dk/maegler/494</v>
      </c>
      <c r="R38" s="14" t="str">
        <f ca="1">IFERROR(__xludf.DUMMYFUNCTION("""COMPUTED_VALUE"""),"-")</f>
        <v>-</v>
      </c>
      <c r="S38" s="20" t="str">
        <f ca="1">IFERROR(__xludf.DUMMYFUNCTION("""COMPUTED_VALUE"""),"-")</f>
        <v>-</v>
      </c>
      <c r="T38" s="14" t="str">
        <f ca="1">IFERROR(__xludf.DUMMYFUNCTION("""COMPUTED_VALUE"""),"-")</f>
        <v>-</v>
      </c>
      <c r="U38" s="14">
        <f ca="1">IFERROR(__xludf.DUMMYFUNCTION("""COMPUTED_VALUE"""),55)</f>
        <v>55</v>
      </c>
      <c r="V38" s="14" t="str">
        <f ca="1">IFERROR(__xludf.DUMMYFUNCTION("""COMPUTED_VALUE"""),"4160, 4873, 4793, 4720, 4771, 4735, 4760, 4772")</f>
        <v>4160, 4873, 4793, 4720, 4771, 4735, 4760, 4772</v>
      </c>
      <c r="W38" s="14">
        <f ca="1">IFERROR(__xludf.DUMMYFUNCTION("""COMPUTED_VALUE"""),26)</f>
        <v>26</v>
      </c>
      <c r="X38" s="14" t="str">
        <f ca="1">IFERROR(__xludf.DUMMYFUNCTION("""COMPUTED_VALUE"""),"4733, 4780, 4720, 4771, 4735, 4850, 4760")</f>
        <v>4733, 4780, 4720, 4771, 4735, 4850, 4760</v>
      </c>
      <c r="Y38" s="14" t="str">
        <f ca="1">IFERROR(__xludf.DUMMYFUNCTION("""COMPUTED_VALUE"""),"ja")</f>
        <v>ja</v>
      </c>
      <c r="Z38" s="14"/>
      <c r="AA38" s="16"/>
      <c r="AB38" s="14" t="str">
        <f ca="1">IFERROR(__xludf.DUMMYFUNCTION("""COMPUTED_VALUE"""),"x")</f>
        <v>x</v>
      </c>
      <c r="AC38" s="14" t="str">
        <f ca="1">IFERROR(__xludf.DUMMYFUNCTION("""COMPUTED_VALUE"""),"x")</f>
        <v>x</v>
      </c>
    </row>
    <row r="39" spans="1:29" ht="12.5" x14ac:dyDescent="0.25">
      <c r="A39" s="14" t="str">
        <f ca="1">IFERROR(__xludf.DUMMYFUNCTION("""COMPUTED_VALUE"""),"Camilla")</f>
        <v>Camilla</v>
      </c>
      <c r="B39" s="14" t="str">
        <f ca="1">IFERROR(__xludf.DUMMYFUNCTION("""COMPUTED_VALUE"""),"RealMæglerne Odense ApS")</f>
        <v>RealMæglerne Odense ApS</v>
      </c>
      <c r="C39" s="14">
        <f ca="1">IFERROR(__xludf.DUMMYFUNCTION("""COMPUTED_VALUE"""),38675079)</f>
        <v>38675079</v>
      </c>
      <c r="D39" s="14" t="str">
        <f ca="1">IFERROR(__xludf.DUMMYFUNCTION("""COMPUTED_VALUE"""),"MG-JY: 2.499,-")</f>
        <v>MG-JY: 2.499,-</v>
      </c>
      <c r="E39" s="14">
        <f ca="1">IFERROR(__xludf.DUMMYFUNCTION("""COMPUTED_VALUE"""),1201)</f>
        <v>1201</v>
      </c>
      <c r="F39" s="14" t="str">
        <f ca="1">IFERROR(__xludf.DUMMYFUNCTION("""COMPUTED_VALUE"""),"Jannick Willumsen ")</f>
        <v xml:space="preserve">Jannick Willumsen </v>
      </c>
      <c r="G39" s="14" t="str">
        <f ca="1">IFERROR(__xludf.DUMMYFUNCTION("""COMPUTED_VALUE"""),"jw@mailreal.dk")</f>
        <v>jw@mailreal.dk</v>
      </c>
      <c r="H39" s="14" t="str">
        <f ca="1">IFERROR(__xludf.DUMMYFUNCTION("""COMPUTED_VALUE"""),"5184 2212")</f>
        <v>5184 2212</v>
      </c>
      <c r="I39" s="14" t="str">
        <f ca="1">IFERROR(__xludf.DUMMYFUNCTION("""COMPUTED_VALUE"""),"Sdr. Boulevard 49")</f>
        <v>Sdr. Boulevard 49</v>
      </c>
      <c r="J39" s="14">
        <f ca="1">IFERROR(__xludf.DUMMYFUNCTION("""COMPUTED_VALUE"""),5000)</f>
        <v>5000</v>
      </c>
      <c r="K39" s="14" t="str">
        <f ca="1">IFERROR(__xludf.DUMMYFUNCTION("""COMPUTED_VALUE"""),"Odense C")</f>
        <v>Odense C</v>
      </c>
      <c r="L39" s="14" t="str">
        <f ca="1">IFERROR(__xludf.DUMMYFUNCTION("""COMPUTED_VALUE"""),"Odense")</f>
        <v>Odense</v>
      </c>
      <c r="M39" s="14" t="str">
        <f ca="1">IFERROR(__xludf.DUMMYFUNCTION("""COMPUTED_VALUE"""),"Fyn")</f>
        <v>Fyn</v>
      </c>
      <c r="N39" s="14" t="str">
        <f ca="1">IFERROR(__xludf.DUMMYFUNCTION("""COMPUTED_VALUE"""),"Syddanmark")</f>
        <v>Syddanmark</v>
      </c>
      <c r="O39" s="14">
        <f ca="1">IFERROR(__xludf.DUMMYFUNCTION("""COMPUTED_VALUE"""),66148040)</f>
        <v>66148040</v>
      </c>
      <c r="P39" s="14" t="str">
        <f ca="1">IFERROR(__xludf.DUMMYFUNCTION("""COMPUTED_VALUE"""),"odense@mailreal.dk")</f>
        <v>odense@mailreal.dk</v>
      </c>
      <c r="Q39" s="15" t="str">
        <f ca="1">IFERROR(__xludf.DUMMYFUNCTION("""COMPUTED_VALUE"""),"https://www.boliga.dk/maegler/23089")</f>
        <v>https://www.boliga.dk/maegler/23089</v>
      </c>
      <c r="R39" s="14" t="str">
        <f ca="1">IFERROR(__xludf.DUMMYFUNCTION("""COMPUTED_VALUE"""),"-")</f>
        <v>-</v>
      </c>
      <c r="S39" s="18" t="str">
        <f ca="1">IFERROR(__xludf.DUMMYFUNCTION("""COMPUTED_VALUE"""),"-")</f>
        <v>-</v>
      </c>
      <c r="T39" s="14" t="str">
        <f ca="1">IFERROR(__xludf.DUMMYFUNCTION("""COMPUTED_VALUE"""),"-")</f>
        <v>-</v>
      </c>
      <c r="U39" s="14">
        <f ca="1">IFERROR(__xludf.DUMMYFUNCTION("""COMPUTED_VALUE"""),36)</f>
        <v>36</v>
      </c>
      <c r="V39" s="14" t="str">
        <f ca="1">IFERROR(__xludf.DUMMYFUNCTION("""COMPUTED_VALUE"""),"5690, 5240, 5200, 5220, 5863, 5320, 5000, 5462, 5800, 5450, 5210, 5230, 5250, 5471, 5260, 5492, 5792")</f>
        <v>5690, 5240, 5200, 5220, 5863, 5320, 5000, 5462, 5800, 5450, 5210, 5230, 5250, 5471, 5260, 5492, 5792</v>
      </c>
      <c r="W39" s="14">
        <f ca="1">IFERROR(__xludf.DUMMYFUNCTION("""COMPUTED_VALUE"""),33)</f>
        <v>33</v>
      </c>
      <c r="X39" s="14" t="str">
        <f ca="1">IFERROR(__xludf.DUMMYFUNCTION("""COMPUTED_VALUE"""),"5220, 5200, 5240, 5690, 5300, 5000, 5320, 5672, 5330, 5210, 5863, 5492, 5250, 5260, 5290, 5792")</f>
        <v>5220, 5200, 5240, 5690, 5300, 5000, 5320, 5672, 5330, 5210, 5863, 5492, 5250, 5260, 5290, 5792</v>
      </c>
      <c r="Y39" s="14" t="str">
        <f ca="1">IFERROR(__xludf.DUMMYFUNCTION("""COMPUTED_VALUE"""),"ja")</f>
        <v>ja</v>
      </c>
      <c r="Z39" s="14"/>
      <c r="AA39" s="16"/>
      <c r="AB39" s="14" t="str">
        <f ca="1">IFERROR(__xludf.DUMMYFUNCTION("""COMPUTED_VALUE"""),"x")</f>
        <v>x</v>
      </c>
      <c r="AC39" s="14" t="str">
        <f ca="1">IFERROR(__xludf.DUMMYFUNCTION("""COMPUTED_VALUE"""),"x")</f>
        <v>x</v>
      </c>
    </row>
    <row r="40" spans="1:29" ht="12.5" x14ac:dyDescent="0.25">
      <c r="A40" s="14" t="str">
        <f ca="1">IFERROR(__xludf.DUMMYFUNCTION("""COMPUTED_VALUE"""),"Camilla")</f>
        <v>Camilla</v>
      </c>
      <c r="B40" s="14" t="str">
        <f ca="1">IFERROR(__xludf.DUMMYFUNCTION("""COMPUTED_VALUE"""),"RealMæglerne Middelfart")</f>
        <v>RealMæglerne Middelfart</v>
      </c>
      <c r="C40" s="14">
        <f ca="1">IFERROR(__xludf.DUMMYFUNCTION("""COMPUTED_VALUE"""),41477458)</f>
        <v>41477458</v>
      </c>
      <c r="D40" s="14" t="str">
        <f ca="1">IFERROR(__xludf.DUMMYFUNCTION("""COMPUTED_VALUE"""),"MG-JY: 2.499,-")</f>
        <v>MG-JY: 2.499,-</v>
      </c>
      <c r="E40" s="14">
        <f ca="1">IFERROR(__xludf.DUMMYFUNCTION("""COMPUTED_VALUE"""),1201)</f>
        <v>1201</v>
      </c>
      <c r="F40" s="14" t="str">
        <f ca="1">IFERROR(__xludf.DUMMYFUNCTION("""COMPUTED_VALUE"""),"Daniel Sønderskov")</f>
        <v>Daniel Sønderskov</v>
      </c>
      <c r="G40" s="14" t="str">
        <f ca="1">IFERROR(__xludf.DUMMYFUNCTION("""COMPUTED_VALUE"""),"daa@mailreal.dk")</f>
        <v>daa@mailreal.dk</v>
      </c>
      <c r="H40" s="14" t="str">
        <f ca="1">IFERROR(__xludf.DUMMYFUNCTION("""COMPUTED_VALUE"""),"7199 5501")</f>
        <v>7199 5501</v>
      </c>
      <c r="I40" s="14" t="str">
        <f ca="1">IFERROR(__xludf.DUMMYFUNCTION("""COMPUTED_VALUE"""),"Østergade 16")</f>
        <v>Østergade 16</v>
      </c>
      <c r="J40" s="14">
        <f ca="1">IFERROR(__xludf.DUMMYFUNCTION("""COMPUTED_VALUE"""),5500)</f>
        <v>5500</v>
      </c>
      <c r="K40" s="14" t="str">
        <f ca="1">IFERROR(__xludf.DUMMYFUNCTION("""COMPUTED_VALUE"""),"Middelfart")</f>
        <v>Middelfart</v>
      </c>
      <c r="L40" s="14" t="str">
        <f ca="1">IFERROR(__xludf.DUMMYFUNCTION("""COMPUTED_VALUE"""),"Middelfart")</f>
        <v>Middelfart</v>
      </c>
      <c r="M40" s="14" t="str">
        <f ca="1">IFERROR(__xludf.DUMMYFUNCTION("""COMPUTED_VALUE"""),"Fyn")</f>
        <v>Fyn</v>
      </c>
      <c r="N40" s="14" t="str">
        <f ca="1">IFERROR(__xludf.DUMMYFUNCTION("""COMPUTED_VALUE"""),"Syddanmark")</f>
        <v>Syddanmark</v>
      </c>
      <c r="O40" s="14">
        <f ca="1">IFERROR(__xludf.DUMMYFUNCTION("""COMPUTED_VALUE"""),71995500)</f>
        <v>71995500</v>
      </c>
      <c r="P40" s="14" t="str">
        <f ca="1">IFERROR(__xludf.DUMMYFUNCTION("""COMPUTED_VALUE"""),"5500@mailreal.dk")</f>
        <v>5500@mailreal.dk</v>
      </c>
      <c r="Q40" s="15" t="str">
        <f ca="1">IFERROR(__xludf.DUMMYFUNCTION("""COMPUTED_VALUE"""),"https://www.boliga.dk/maegler/18197")</f>
        <v>https://www.boliga.dk/maegler/18197</v>
      </c>
      <c r="R40" s="14" t="str">
        <f ca="1">IFERROR(__xludf.DUMMYFUNCTION("""COMPUTED_VALUE"""),"-")</f>
        <v>-</v>
      </c>
      <c r="S40" s="20" t="str">
        <f ca="1">IFERROR(__xludf.DUMMYFUNCTION("""COMPUTED_VALUE"""),"-")</f>
        <v>-</v>
      </c>
      <c r="T40" s="14" t="str">
        <f ca="1">IFERROR(__xludf.DUMMYFUNCTION("""COMPUTED_VALUE"""),"-")</f>
        <v>-</v>
      </c>
      <c r="U40" s="14">
        <f ca="1">IFERROR(__xludf.DUMMYFUNCTION("""COMPUTED_VALUE"""),73)</f>
        <v>73</v>
      </c>
      <c r="V40" s="14" t="str">
        <f ca="1">IFERROR(__xludf.DUMMYFUNCTION("""COMPUTED_VALUE"""),"5463, 5500, 5464, 5466, 5592, 5580, 5591")</f>
        <v>5463, 5500, 5464, 5466, 5592, 5580, 5591</v>
      </c>
      <c r="W40" s="14">
        <f ca="1">IFERROR(__xludf.DUMMYFUNCTION("""COMPUTED_VALUE"""),19)</f>
        <v>19</v>
      </c>
      <c r="X40" s="14" t="str">
        <f ca="1">IFERROR(__xludf.DUMMYFUNCTION("""COMPUTED_VALUE"""),"5500, 5464, 5466, 5463, 5580, 5592, 5591")</f>
        <v>5500, 5464, 5466, 5463, 5580, 5592, 5591</v>
      </c>
      <c r="Y40" s="14" t="str">
        <f ca="1">IFERROR(__xludf.DUMMYFUNCTION("""COMPUTED_VALUE"""),"ja")</f>
        <v>ja</v>
      </c>
      <c r="Z40" s="14"/>
      <c r="AA40" s="16"/>
      <c r="AB40" s="14" t="str">
        <f ca="1">IFERROR(__xludf.DUMMYFUNCTION("""COMPUTED_VALUE"""),"x")</f>
        <v>x</v>
      </c>
      <c r="AC40" s="14" t="str">
        <f ca="1">IFERROR(__xludf.DUMMYFUNCTION("""COMPUTED_VALUE"""),"x")</f>
        <v>x</v>
      </c>
    </row>
    <row r="41" spans="1:29" ht="12.5" x14ac:dyDescent="0.25">
      <c r="A41" s="14" t="str">
        <f ca="1">IFERROR(__xludf.DUMMYFUNCTION("""COMPUTED_VALUE"""),"Camilla")</f>
        <v>Camilla</v>
      </c>
      <c r="B41" s="14" t="str">
        <f ca="1">IFERROR(__xludf.DUMMYFUNCTION("""COMPUTED_VALUE"""),"RealMæglerne Sofie Find")</f>
        <v>RealMæglerne Sofie Find</v>
      </c>
      <c r="C41" s="14">
        <f ca="1">IFERROR(__xludf.DUMMYFUNCTION("""COMPUTED_VALUE"""),35737103)</f>
        <v>35737103</v>
      </c>
      <c r="D41" s="14" t="str">
        <f ca="1">IFERROR(__xludf.DUMMYFUNCTION("""COMPUTED_VALUE"""),"MG-JY: 2.499,-")</f>
        <v>MG-JY: 2.499,-</v>
      </c>
      <c r="E41" s="14">
        <f ca="1">IFERROR(__xludf.DUMMYFUNCTION("""COMPUTED_VALUE"""),1201)</f>
        <v>1201</v>
      </c>
      <c r="F41" s="14" t="str">
        <f ca="1">IFERROR(__xludf.DUMMYFUNCTION("""COMPUTED_VALUE"""),"Sofie Find")</f>
        <v>Sofie Find</v>
      </c>
      <c r="G41" s="14" t="str">
        <f ca="1">IFERROR(__xludf.DUMMYFUNCTION("""COMPUTED_VALUE"""),"find@mailreal.dk")</f>
        <v>find@mailreal.dk</v>
      </c>
      <c r="H41" s="14" t="str">
        <f ca="1">IFERROR(__xludf.DUMMYFUNCTION("""COMPUTED_VALUE"""),"2076 7449")</f>
        <v>2076 7449</v>
      </c>
      <c r="I41" s="14" t="str">
        <f ca="1">IFERROR(__xludf.DUMMYFUNCTION("""COMPUTED_VALUE"""),"Kanalvej 11")</f>
        <v>Kanalvej 11</v>
      </c>
      <c r="J41" s="14">
        <f ca="1">IFERROR(__xludf.DUMMYFUNCTION("""COMPUTED_VALUE"""),5600)</f>
        <v>5600</v>
      </c>
      <c r="K41" s="14" t="str">
        <f ca="1">IFERROR(__xludf.DUMMYFUNCTION("""COMPUTED_VALUE"""),"Faaborg")</f>
        <v>Faaborg</v>
      </c>
      <c r="L41" s="14" t="str">
        <f ca="1">IFERROR(__xludf.DUMMYFUNCTION("""COMPUTED_VALUE"""),"Faaborg-Midtfyn")</f>
        <v>Faaborg-Midtfyn</v>
      </c>
      <c r="M41" s="14" t="str">
        <f ca="1">IFERROR(__xludf.DUMMYFUNCTION("""COMPUTED_VALUE"""),"Fyn")</f>
        <v>Fyn</v>
      </c>
      <c r="N41" s="14" t="str">
        <f ca="1">IFERROR(__xludf.DUMMYFUNCTION("""COMPUTED_VALUE"""),"Syddanmark")</f>
        <v>Syddanmark</v>
      </c>
      <c r="O41" s="14">
        <f ca="1">IFERROR(__xludf.DUMMYFUNCTION("""COMPUTED_VALUE"""),61714233)</f>
        <v>61714233</v>
      </c>
      <c r="P41" s="14" t="str">
        <f ca="1">IFERROR(__xludf.DUMMYFUNCTION("""COMPUTED_VALUE"""),"5600@mailreal.dk")</f>
        <v>5600@mailreal.dk</v>
      </c>
      <c r="Q41" s="15" t="str">
        <f ca="1">IFERROR(__xludf.DUMMYFUNCTION("""COMPUTED_VALUE"""),"https://www.boliga.dk/maegler/18578")</f>
        <v>https://www.boliga.dk/maegler/18578</v>
      </c>
      <c r="R41" s="14" t="str">
        <f ca="1">IFERROR(__xludf.DUMMYFUNCTION("""COMPUTED_VALUE"""),"-")</f>
        <v>-</v>
      </c>
      <c r="S41" s="20" t="str">
        <f ca="1">IFERROR(__xludf.DUMMYFUNCTION("""COMPUTED_VALUE"""),"-")</f>
        <v>-</v>
      </c>
      <c r="T41" s="14" t="str">
        <f ca="1">IFERROR(__xludf.DUMMYFUNCTION("""COMPUTED_VALUE"""),"-")</f>
        <v>-</v>
      </c>
      <c r="U41" s="14">
        <f ca="1">IFERROR(__xludf.DUMMYFUNCTION("""COMPUTED_VALUE"""),17)</f>
        <v>17</v>
      </c>
      <c r="V41" s="14" t="str">
        <f ca="1">IFERROR(__xludf.DUMMYFUNCTION("""COMPUTED_VALUE"""),"5610, 5642, 5600, 5672")</f>
        <v>5610, 5642, 5600, 5672</v>
      </c>
      <c r="W41" s="14">
        <f ca="1">IFERROR(__xludf.DUMMYFUNCTION("""COMPUTED_VALUE"""),9)</f>
        <v>9</v>
      </c>
      <c r="X41" s="14" t="str">
        <f ca="1">IFERROR(__xludf.DUMMYFUNCTION("""COMPUTED_VALUE"""),"5603, 5683, 5642, 5600")</f>
        <v>5603, 5683, 5642, 5600</v>
      </c>
      <c r="Y41" s="14" t="str">
        <f ca="1">IFERROR(__xludf.DUMMYFUNCTION("""COMPUTED_VALUE"""),"ja")</f>
        <v>ja</v>
      </c>
      <c r="Z41" s="14"/>
      <c r="AA41" s="16"/>
      <c r="AB41" s="14" t="str">
        <f ca="1">IFERROR(__xludf.DUMMYFUNCTION("""COMPUTED_VALUE"""),"x")</f>
        <v>x</v>
      </c>
      <c r="AC41" s="14" t="str">
        <f ca="1">IFERROR(__xludf.DUMMYFUNCTION("""COMPUTED_VALUE"""),"x")</f>
        <v>x</v>
      </c>
    </row>
    <row r="42" spans="1:29" ht="12.5" x14ac:dyDescent="0.25">
      <c r="A42" s="14" t="str">
        <f ca="1">IFERROR(__xludf.DUMMYFUNCTION("""COMPUTED_VALUE"""),"Camilla")</f>
        <v>Camilla</v>
      </c>
      <c r="B42" s="14" t="str">
        <f ca="1">IFERROR(__xludf.DUMMYFUNCTION("""COMPUTED_VALUE"""),"RealMæglerne Sydfyn")</f>
        <v>RealMæglerne Sydfyn</v>
      </c>
      <c r="C42" s="14">
        <f ca="1">IFERROR(__xludf.DUMMYFUNCTION("""COMPUTED_VALUE"""),29809402)</f>
        <v>29809402</v>
      </c>
      <c r="D42" s="14" t="str">
        <f ca="1">IFERROR(__xludf.DUMMYFUNCTION("""COMPUTED_VALUE"""),"MG-JY: 2.499,-")</f>
        <v>MG-JY: 2.499,-</v>
      </c>
      <c r="E42" s="14">
        <f ca="1">IFERROR(__xludf.DUMMYFUNCTION("""COMPUTED_VALUE"""),1201)</f>
        <v>1201</v>
      </c>
      <c r="F42" s="14" t="str">
        <f ca="1">IFERROR(__xludf.DUMMYFUNCTION("""COMPUTED_VALUE"""),"Søren Holst")</f>
        <v>Søren Holst</v>
      </c>
      <c r="G42" s="14" t="str">
        <f ca="1">IFERROR(__xludf.DUMMYFUNCTION("""COMPUTED_VALUE"""),"holst@mailreal.dk")</f>
        <v>holst@mailreal.dk</v>
      </c>
      <c r="H42" s="14" t="str">
        <f ca="1">IFERROR(__xludf.DUMMYFUNCTION("""COMPUTED_VALUE"""),"2616 9415")</f>
        <v>2616 9415</v>
      </c>
      <c r="I42" s="14" t="str">
        <f ca="1">IFERROR(__xludf.DUMMYFUNCTION("""COMPUTED_VALUE"""),"Vestergade 30 A")</f>
        <v>Vestergade 30 A</v>
      </c>
      <c r="J42" s="14">
        <f ca="1">IFERROR(__xludf.DUMMYFUNCTION("""COMPUTED_VALUE"""),5700)</f>
        <v>5700</v>
      </c>
      <c r="K42" s="14" t="str">
        <f ca="1">IFERROR(__xludf.DUMMYFUNCTION("""COMPUTED_VALUE"""),"Svendborg")</f>
        <v>Svendborg</v>
      </c>
      <c r="L42" s="14" t="str">
        <f ca="1">IFERROR(__xludf.DUMMYFUNCTION("""COMPUTED_VALUE"""),"Svendborg")</f>
        <v>Svendborg</v>
      </c>
      <c r="M42" s="14" t="str">
        <f ca="1">IFERROR(__xludf.DUMMYFUNCTION("""COMPUTED_VALUE"""),"Fyn")</f>
        <v>Fyn</v>
      </c>
      <c r="N42" s="14" t="str">
        <f ca="1">IFERROR(__xludf.DUMMYFUNCTION("""COMPUTED_VALUE"""),"Syddanmark")</f>
        <v>Syddanmark</v>
      </c>
      <c r="O42" s="14">
        <f ca="1">IFERROR(__xludf.DUMMYFUNCTION("""COMPUTED_VALUE"""),63633636)</f>
        <v>63633636</v>
      </c>
      <c r="P42" s="14" t="str">
        <f ca="1">IFERROR(__xludf.DUMMYFUNCTION("""COMPUTED_VALUE"""),"Sydfyn@mailreal.dk")</f>
        <v>Sydfyn@mailreal.dk</v>
      </c>
      <c r="Q42" s="15" t="str">
        <f ca="1">IFERROR(__xludf.DUMMYFUNCTION("""COMPUTED_VALUE"""),"https://www.boliga.dk/maegler/706")</f>
        <v>https://www.boliga.dk/maegler/706</v>
      </c>
      <c r="R42" s="14" t="str">
        <f ca="1">IFERROR(__xludf.DUMMYFUNCTION("""COMPUTED_VALUE"""),"-")</f>
        <v>-</v>
      </c>
      <c r="S42" s="20" t="str">
        <f ca="1">IFERROR(__xludf.DUMMYFUNCTION("""COMPUTED_VALUE"""),"-")</f>
        <v>-</v>
      </c>
      <c r="T42" s="18" t="str">
        <f ca="1">IFERROR(__xludf.DUMMYFUNCTION("""COMPUTED_VALUE"""),"-")</f>
        <v>-</v>
      </c>
      <c r="U42" s="14">
        <f ca="1">IFERROR(__xludf.DUMMYFUNCTION("""COMPUTED_VALUE"""),37)</f>
        <v>37</v>
      </c>
      <c r="V42" s="14" t="str">
        <f ca="1">IFERROR(__xludf.DUMMYFUNCTION("""COMPUTED_VALUE"""),"5874, 5883, 5600, 5800, 5892, 5540, 5700, 5871, 5854, 5771, 5900, 5953, 5932, 5935")</f>
        <v>5874, 5883, 5600, 5800, 5892, 5540, 5700, 5871, 5854, 5771, 5900, 5953, 5932, 5935</v>
      </c>
      <c r="W42" s="14">
        <f ca="1">IFERROR(__xludf.DUMMYFUNCTION("""COMPUTED_VALUE"""),22)</f>
        <v>22</v>
      </c>
      <c r="X42" s="14" t="str">
        <f ca="1">IFERROR(__xludf.DUMMYFUNCTION("""COMPUTED_VALUE"""),"5700, 5540, 5874, 5900, 5762, 5932, 5853, 5882")</f>
        <v>5700, 5540, 5874, 5900, 5762, 5932, 5853, 5882</v>
      </c>
      <c r="Y42" s="14" t="str">
        <f ca="1">IFERROR(__xludf.DUMMYFUNCTION("""COMPUTED_VALUE"""),"ja")</f>
        <v>ja</v>
      </c>
      <c r="Z42" s="14"/>
      <c r="AA42" s="16"/>
      <c r="AB42" s="14" t="str">
        <f ca="1">IFERROR(__xludf.DUMMYFUNCTION("""COMPUTED_VALUE"""),"x")</f>
        <v>x</v>
      </c>
      <c r="AC42" s="14" t="str">
        <f ca="1">IFERROR(__xludf.DUMMYFUNCTION("""COMPUTED_VALUE"""),"x")</f>
        <v>x</v>
      </c>
    </row>
    <row r="43" spans="1:29" ht="12.5" x14ac:dyDescent="0.25">
      <c r="A43" s="14" t="str">
        <f ca="1">IFERROR(__xludf.DUMMYFUNCTION("""COMPUTED_VALUE"""),"Camilla")</f>
        <v>Camilla</v>
      </c>
      <c r="B43" s="14" t="str">
        <f ca="1">IFERROR(__xludf.DUMMYFUNCTION("""COMPUTED_VALUE"""),"RealMæglerne Aabenraa ApS")</f>
        <v>RealMæglerne Aabenraa ApS</v>
      </c>
      <c r="C43" s="14">
        <f ca="1">IFERROR(__xludf.DUMMYFUNCTION("""COMPUTED_VALUE"""),43155296)</f>
        <v>43155296</v>
      </c>
      <c r="D43" s="14" t="str">
        <f ca="1">IFERROR(__xludf.DUMMYFUNCTION("""COMPUTED_VALUE"""),"MG-JY: 2.499,-")</f>
        <v>MG-JY: 2.499,-</v>
      </c>
      <c r="E43" s="14">
        <f ca="1">IFERROR(__xludf.DUMMYFUNCTION("""COMPUTED_VALUE"""),1201)</f>
        <v>1201</v>
      </c>
      <c r="F43" s="14" t="str">
        <f ca="1">IFERROR(__xludf.DUMMYFUNCTION("""COMPUTED_VALUE"""),"Randi Jørgensen ")</f>
        <v xml:space="preserve">Randi Jørgensen </v>
      </c>
      <c r="G43" s="15" t="str">
        <f ca="1">IFERROR(__xludf.DUMMYFUNCTION("""COMPUTED_VALUE"""),"rajo@mailreal.dk")</f>
        <v>rajo@mailreal.dk</v>
      </c>
      <c r="H43" s="14" t="str">
        <f ca="1">IFERROR(__xludf.DUMMYFUNCTION("""COMPUTED_VALUE"""),"2283 6100")</f>
        <v>2283 6100</v>
      </c>
      <c r="I43" s="14" t="str">
        <f ca="1">IFERROR(__xludf.DUMMYFUNCTION("""COMPUTED_VALUE"""),"Ramsherred 29")</f>
        <v>Ramsherred 29</v>
      </c>
      <c r="J43" s="14">
        <f ca="1">IFERROR(__xludf.DUMMYFUNCTION("""COMPUTED_VALUE"""),6200)</f>
        <v>6200</v>
      </c>
      <c r="K43" s="14" t="str">
        <f ca="1">IFERROR(__xludf.DUMMYFUNCTION("""COMPUTED_VALUE"""),"Aabenraa")</f>
        <v>Aabenraa</v>
      </c>
      <c r="L43" s="14" t="str">
        <f ca="1">IFERROR(__xludf.DUMMYFUNCTION("""COMPUTED_VALUE"""),"Aabenraa")</f>
        <v>Aabenraa</v>
      </c>
      <c r="M43" s="14" t="str">
        <f ca="1">IFERROR(__xludf.DUMMYFUNCTION("""COMPUTED_VALUE"""),"Sydjylland")</f>
        <v>Sydjylland</v>
      </c>
      <c r="N43" s="14" t="str">
        <f ca="1">IFERROR(__xludf.DUMMYFUNCTION("""COMPUTED_VALUE"""),"Syddanmark")</f>
        <v>Syddanmark</v>
      </c>
      <c r="O43" s="14">
        <f ca="1">IFERROR(__xludf.DUMMYFUNCTION("""COMPUTED_VALUE"""),22836100)</f>
        <v>22836100</v>
      </c>
      <c r="P43" s="14" t="str">
        <f ca="1">IFERROR(__xludf.DUMMYFUNCTION("""COMPUTED_VALUE"""),"aabenraa@mailreal.dk")</f>
        <v>aabenraa@mailreal.dk</v>
      </c>
      <c r="Q43" s="15" t="str">
        <f ca="1">IFERROR(__xludf.DUMMYFUNCTION("""COMPUTED_VALUE"""),"https://www.boliga.dk/maegler/22715")</f>
        <v>https://www.boliga.dk/maegler/22715</v>
      </c>
      <c r="R43" s="14" t="str">
        <f ca="1">IFERROR(__xludf.DUMMYFUNCTION("""COMPUTED_VALUE"""),"-")</f>
        <v>-</v>
      </c>
      <c r="S43" s="20" t="str">
        <f ca="1">IFERROR(__xludf.DUMMYFUNCTION("""COMPUTED_VALUE"""),"-")</f>
        <v>-</v>
      </c>
      <c r="T43" s="14" t="str">
        <f ca="1">IFERROR(__xludf.DUMMYFUNCTION("""COMPUTED_VALUE"""),"-")</f>
        <v>-</v>
      </c>
      <c r="U43" s="14">
        <f ca="1">IFERROR(__xludf.DUMMYFUNCTION("""COMPUTED_VALUE"""),15)</f>
        <v>15</v>
      </c>
      <c r="V43" s="14" t="str">
        <f ca="1">IFERROR(__xludf.DUMMYFUNCTION("""COMPUTED_VALUE"""),"6230, 6372, 6360, 6200, 6340, 6392")</f>
        <v>6230, 6372, 6360, 6200, 6340, 6392</v>
      </c>
      <c r="W43" s="14">
        <f ca="1">IFERROR(__xludf.DUMMYFUNCTION("""COMPUTED_VALUE"""),8)</f>
        <v>8</v>
      </c>
      <c r="X43" s="14" t="str">
        <f ca="1">IFERROR(__xludf.DUMMYFUNCTION("""COMPUTED_VALUE"""),"6230, 6200, 6360")</f>
        <v>6230, 6200, 6360</v>
      </c>
      <c r="Y43" s="14" t="str">
        <f ca="1">IFERROR(__xludf.DUMMYFUNCTION("""COMPUTED_VALUE"""),"ja")</f>
        <v>ja</v>
      </c>
      <c r="Z43" s="14"/>
      <c r="AA43" s="16"/>
      <c r="AB43" s="14" t="str">
        <f ca="1">IFERROR(__xludf.DUMMYFUNCTION("""COMPUTED_VALUE"""),"x")</f>
        <v>x</v>
      </c>
      <c r="AC43" s="14" t="str">
        <f ca="1">IFERROR(__xludf.DUMMYFUNCTION("""COMPUTED_VALUE"""),"x")</f>
        <v>x</v>
      </c>
    </row>
    <row r="44" spans="1:29" ht="12.5" x14ac:dyDescent="0.25">
      <c r="A44" s="14" t="str">
        <f ca="1">IFERROR(__xludf.DUMMYFUNCTION("""COMPUTED_VALUE"""),"Camilla")</f>
        <v>Camilla</v>
      </c>
      <c r="B44" s="14" t="str">
        <f ca="1">IFERROR(__xludf.DUMMYFUNCTION("""COMPUTED_VALUE"""),"RealMæglerne Seeberg ApS")</f>
        <v>RealMæglerne Seeberg ApS</v>
      </c>
      <c r="C44" s="14">
        <f ca="1">IFERROR(__xludf.DUMMYFUNCTION("""COMPUTED_VALUE"""),34604452)</f>
        <v>34604452</v>
      </c>
      <c r="D44" s="14" t="str">
        <f ca="1">IFERROR(__xludf.DUMMYFUNCTION("""COMPUTED_VALUE"""),"MG-JY: 2.499,-")</f>
        <v>MG-JY: 2.499,-</v>
      </c>
      <c r="E44" s="14">
        <f ca="1">IFERROR(__xludf.DUMMYFUNCTION("""COMPUTED_VALUE"""),1201)</f>
        <v>1201</v>
      </c>
      <c r="F44" s="14" t="str">
        <f ca="1">IFERROR(__xludf.DUMMYFUNCTION("""COMPUTED_VALUE"""),"Dorthe Seeberg ")</f>
        <v xml:space="preserve">Dorthe Seeberg </v>
      </c>
      <c r="G44" s="14" t="str">
        <f ca="1">IFERROR(__xludf.DUMMYFUNCTION("""COMPUTED_VALUE"""),"dsh@mailreal.dk")</f>
        <v>dsh@mailreal.dk</v>
      </c>
      <c r="H44" s="14" t="str">
        <f ca="1">IFERROR(__xludf.DUMMYFUNCTION("""COMPUTED_VALUE"""),"2364 0057")</f>
        <v>2364 0057</v>
      </c>
      <c r="I44" s="14" t="str">
        <f ca="1">IFERROR(__xludf.DUMMYFUNCTION("""COMPUTED_VALUE"""),"Rådhustorvet 9")</f>
        <v>Rådhustorvet 9</v>
      </c>
      <c r="J44" s="14">
        <f ca="1">IFERROR(__xludf.DUMMYFUNCTION("""COMPUTED_VALUE"""),6400)</f>
        <v>6400</v>
      </c>
      <c r="K44" s="14" t="str">
        <f ca="1">IFERROR(__xludf.DUMMYFUNCTION("""COMPUTED_VALUE"""),"Sønderborg")</f>
        <v>Sønderborg</v>
      </c>
      <c r="L44" s="14" t="str">
        <f ca="1">IFERROR(__xludf.DUMMYFUNCTION("""COMPUTED_VALUE"""),"Sønderborg")</f>
        <v>Sønderborg</v>
      </c>
      <c r="M44" s="14" t="str">
        <f ca="1">IFERROR(__xludf.DUMMYFUNCTION("""COMPUTED_VALUE"""),"Sydjylland")</f>
        <v>Sydjylland</v>
      </c>
      <c r="N44" s="14" t="str">
        <f ca="1">IFERROR(__xludf.DUMMYFUNCTION("""COMPUTED_VALUE"""),"Syddanmark")</f>
        <v>Syddanmark</v>
      </c>
      <c r="O44" s="14">
        <f ca="1">IFERROR(__xludf.DUMMYFUNCTION("""COMPUTED_VALUE"""),74423344)</f>
        <v>74423344</v>
      </c>
      <c r="P44" s="14" t="str">
        <f ca="1">IFERROR(__xludf.DUMMYFUNCTION("""COMPUTED_VALUE"""),"6400@mailreal.dk")</f>
        <v>6400@mailreal.dk</v>
      </c>
      <c r="Q44" s="15" t="str">
        <f ca="1">IFERROR(__xludf.DUMMYFUNCTION("""COMPUTED_VALUE"""),"https://www.boliga.dk/maegler/17399")</f>
        <v>https://www.boliga.dk/maegler/17399</v>
      </c>
      <c r="R44" s="14" t="str">
        <f ca="1">IFERROR(__xludf.DUMMYFUNCTION("""COMPUTED_VALUE"""),"-")</f>
        <v>-</v>
      </c>
      <c r="S44" s="20" t="str">
        <f ca="1">IFERROR(__xludf.DUMMYFUNCTION("""COMPUTED_VALUE"""),"-")</f>
        <v>-</v>
      </c>
      <c r="T44" s="14" t="str">
        <f ca="1">IFERROR(__xludf.DUMMYFUNCTION("""COMPUTED_VALUE"""),"-")</f>
        <v>-</v>
      </c>
      <c r="U44" s="14">
        <f ca="1">IFERROR(__xludf.DUMMYFUNCTION("""COMPUTED_VALUE"""),39)</f>
        <v>39</v>
      </c>
      <c r="V44" s="14" t="str">
        <f ca="1">IFERROR(__xludf.DUMMYFUNCTION("""COMPUTED_VALUE"""),"6320, 6310, 6300, 6470, 6430, 6400, 6440")</f>
        <v>6320, 6310, 6300, 6470, 6430, 6400, 6440</v>
      </c>
      <c r="W44" s="14">
        <f ca="1">IFERROR(__xludf.DUMMYFUNCTION("""COMPUTED_VALUE"""),33)</f>
        <v>33</v>
      </c>
      <c r="X44" s="14" t="str">
        <f ca="1">IFERROR(__xludf.DUMMYFUNCTION("""COMPUTED_VALUE"""),"6320, 6310, 6300, 6470, 6430, 6400, 6440")</f>
        <v>6320, 6310, 6300, 6470, 6430, 6400, 6440</v>
      </c>
      <c r="Y44" s="14" t="str">
        <f ca="1">IFERROR(__xludf.DUMMYFUNCTION("""COMPUTED_VALUE"""),"ja")</f>
        <v>ja</v>
      </c>
      <c r="Z44" s="14"/>
      <c r="AA44" s="16"/>
      <c r="AB44" s="14" t="str">
        <f ca="1">IFERROR(__xludf.DUMMYFUNCTION("""COMPUTED_VALUE"""),"x")</f>
        <v>x</v>
      </c>
      <c r="AC44" s="14" t="str">
        <f ca="1">IFERROR(__xludf.DUMMYFUNCTION("""COMPUTED_VALUE"""),"x")</f>
        <v>x</v>
      </c>
    </row>
    <row r="45" spans="1:29" ht="12.5" x14ac:dyDescent="0.25">
      <c r="A45" s="14"/>
      <c r="B45" s="14" t="str">
        <f ca="1">IFERROR(__xludf.DUMMYFUNCTION("""COMPUTED_VALUE"""),"RealMæglerne Henne Strand")</f>
        <v>RealMæglerne Henne Strand</v>
      </c>
      <c r="C45" s="14">
        <f ca="1">IFERROR(__xludf.DUMMYFUNCTION("""COMPUTED_VALUE"""),35040323)</f>
        <v>35040323</v>
      </c>
      <c r="D45" s="14" t="str">
        <f ca="1">IFERROR(__xludf.DUMMYFUNCTION("""COMPUTED_VALUE"""),"MG-JY: 2.499,-")</f>
        <v>MG-JY: 2.499,-</v>
      </c>
      <c r="E45" s="14">
        <f ca="1">IFERROR(__xludf.DUMMYFUNCTION("""COMPUTED_VALUE"""),1201)</f>
        <v>1201</v>
      </c>
      <c r="F45" s="14" t="str">
        <f ca="1">IFERROR(__xludf.DUMMYFUNCTION("""COMPUTED_VALUE"""),"Søren Thomsen")</f>
        <v>Søren Thomsen</v>
      </c>
      <c r="G45" s="14" t="str">
        <f ca="1">IFERROR(__xludf.DUMMYFUNCTION("""COMPUTED_VALUE"""),"thomsen@mailreal.dk")</f>
        <v>thomsen@mailreal.dk</v>
      </c>
      <c r="H45" s="14" t="str">
        <f ca="1">IFERROR(__xludf.DUMMYFUNCTION("""COMPUTED_VALUE"""),"2144 4716")</f>
        <v>2144 4716</v>
      </c>
      <c r="I45" s="14" t="str">
        <f ca="1">IFERROR(__xludf.DUMMYFUNCTION("""COMPUTED_VALUE"""),"Klitvej 7")</f>
        <v>Klitvej 7</v>
      </c>
      <c r="J45" s="14">
        <f ca="1">IFERROR(__xludf.DUMMYFUNCTION("""COMPUTED_VALUE"""),6854)</f>
        <v>6854</v>
      </c>
      <c r="K45" s="14" t="str">
        <f ca="1">IFERROR(__xludf.DUMMYFUNCTION("""COMPUTED_VALUE"""),"Henne")</f>
        <v>Henne</v>
      </c>
      <c r="L45" s="14"/>
      <c r="M45" s="14" t="str">
        <f ca="1">IFERROR(__xludf.DUMMYFUNCTION("""COMPUTED_VALUE"""),"Sydjylland")</f>
        <v>Sydjylland</v>
      </c>
      <c r="N45" s="14" t="str">
        <f ca="1">IFERROR(__xludf.DUMMYFUNCTION("""COMPUTED_VALUE"""),"Syddanmark")</f>
        <v>Syddanmark</v>
      </c>
      <c r="O45" s="14" t="str">
        <f ca="1">IFERROR(__xludf.DUMMYFUNCTION("""COMPUTED_VALUE"""),"7545 4000")</f>
        <v>7545 4000</v>
      </c>
      <c r="P45" s="14" t="str">
        <f ca="1">IFERROR(__xludf.DUMMYFUNCTION("""COMPUTED_VALUE"""),"hennestrand@mailreal.dk")</f>
        <v>hennestrand@mailreal.dk</v>
      </c>
      <c r="Q45" s="15" t="str">
        <f ca="1">IFERROR(__xludf.DUMMYFUNCTION("""COMPUTED_VALUE"""),"https://www.boliga.dk/maegler/29040")</f>
        <v>https://www.boliga.dk/maegler/29040</v>
      </c>
      <c r="R45" s="14"/>
      <c r="S45" s="18"/>
      <c r="T45" s="14"/>
      <c r="U45" s="14"/>
      <c r="V45" s="14"/>
      <c r="W45" s="14"/>
      <c r="X45" s="14"/>
      <c r="Y45" s="14" t="str">
        <f ca="1">IFERROR(__xludf.DUMMYFUNCTION("""COMPUTED_VALUE"""),"ja")</f>
        <v>ja</v>
      </c>
      <c r="Z45" s="14"/>
      <c r="AA45" s="18"/>
      <c r="AB45" s="14" t="str">
        <f ca="1">IFERROR(__xludf.DUMMYFUNCTION("""COMPUTED_VALUE"""),"x")</f>
        <v>x</v>
      </c>
      <c r="AC45" s="14" t="str">
        <f ca="1">IFERROR(__xludf.DUMMYFUNCTION("""COMPUTED_VALUE"""),"x")</f>
        <v>x</v>
      </c>
    </row>
    <row r="46" spans="1:29" ht="12.5" x14ac:dyDescent="0.25">
      <c r="A46" s="14" t="str">
        <f ca="1">IFERROR(__xludf.DUMMYFUNCTION("""COMPUTED_VALUE"""),"Camilla")</f>
        <v>Camilla</v>
      </c>
      <c r="B46" s="14" t="str">
        <f ca="1">IFERROR(__xludf.DUMMYFUNCTION("""COMPUTED_VALUE"""),"RealMæglerne Varde og Esbjerg A/S")</f>
        <v>RealMæglerne Varde og Esbjerg A/S</v>
      </c>
      <c r="C46" s="14">
        <f ca="1">IFERROR(__xludf.DUMMYFUNCTION("""COMPUTED_VALUE"""),35040323)</f>
        <v>35040323</v>
      </c>
      <c r="D46" s="14" t="str">
        <f ca="1">IFERROR(__xludf.DUMMYFUNCTION("""COMPUTED_VALUE"""),"MG-JY: 2.499,-")</f>
        <v>MG-JY: 2.499,-</v>
      </c>
      <c r="E46" s="14">
        <f ca="1">IFERROR(__xludf.DUMMYFUNCTION("""COMPUTED_VALUE"""),1201)</f>
        <v>1201</v>
      </c>
      <c r="F46" s="14" t="str">
        <f ca="1">IFERROR(__xludf.DUMMYFUNCTION("""COMPUTED_VALUE"""),"Søren Thomsen")</f>
        <v>Søren Thomsen</v>
      </c>
      <c r="G46" s="14" t="str">
        <f ca="1">IFERROR(__xludf.DUMMYFUNCTION("""COMPUTED_VALUE"""),"thomsen@mailreal.dk")</f>
        <v>thomsen@mailreal.dk</v>
      </c>
      <c r="H46" s="14" t="str">
        <f ca="1">IFERROR(__xludf.DUMMYFUNCTION("""COMPUTED_VALUE"""),"2144 4716")</f>
        <v>2144 4716</v>
      </c>
      <c r="I46" s="14" t="str">
        <f ca="1">IFERROR(__xludf.DUMMYFUNCTION("""COMPUTED_VALUE"""),"Nordre Blvd. 93")</f>
        <v>Nordre Blvd. 93</v>
      </c>
      <c r="J46" s="14">
        <f ca="1">IFERROR(__xludf.DUMMYFUNCTION("""COMPUTED_VALUE"""),6800)</f>
        <v>6800</v>
      </c>
      <c r="K46" s="14" t="str">
        <f ca="1">IFERROR(__xludf.DUMMYFUNCTION("""COMPUTED_VALUE"""),"Varde")</f>
        <v>Varde</v>
      </c>
      <c r="L46" s="14" t="str">
        <f ca="1">IFERROR(__xludf.DUMMYFUNCTION("""COMPUTED_VALUE"""),"Esbjerg")</f>
        <v>Esbjerg</v>
      </c>
      <c r="M46" s="14" t="str">
        <f ca="1">IFERROR(__xludf.DUMMYFUNCTION("""COMPUTED_VALUE"""),"Sydjylland")</f>
        <v>Sydjylland</v>
      </c>
      <c r="N46" s="14" t="str">
        <f ca="1">IFERROR(__xludf.DUMMYFUNCTION("""COMPUTED_VALUE"""),"Syddanmark")</f>
        <v>Syddanmark</v>
      </c>
      <c r="O46" s="14">
        <f ca="1">IFERROR(__xludf.DUMMYFUNCTION("""COMPUTED_VALUE"""),75454000)</f>
        <v>75454000</v>
      </c>
      <c r="P46" s="14" t="str">
        <f ca="1">IFERROR(__xludf.DUMMYFUNCTION("""COMPUTED_VALUE"""),"varde@mailreal.dk")</f>
        <v>varde@mailreal.dk</v>
      </c>
      <c r="Q46" s="15" t="str">
        <f ca="1">IFERROR(__xludf.DUMMYFUNCTION("""COMPUTED_VALUE"""),"https://www.boliga.dk/maegler/26579")</f>
        <v>https://www.boliga.dk/maegler/26579</v>
      </c>
      <c r="R46" s="14" t="str">
        <f ca="1">IFERROR(__xludf.DUMMYFUNCTION("""COMPUTED_VALUE"""),"-")</f>
        <v>-</v>
      </c>
      <c r="S46" s="18" t="str">
        <f ca="1">IFERROR(__xludf.DUMMYFUNCTION("""COMPUTED_VALUE"""),"-")</f>
        <v>-</v>
      </c>
      <c r="T46" s="14" t="str">
        <f ca="1">IFERROR(__xludf.DUMMYFUNCTION("""COMPUTED_VALUE"""),"-")</f>
        <v>-</v>
      </c>
      <c r="U46" s="14">
        <f ca="1">IFERROR(__xludf.DUMMYFUNCTION("""COMPUTED_VALUE"""),21)</f>
        <v>21</v>
      </c>
      <c r="V46" s="14" t="str">
        <f ca="1">IFERROR(__xludf.DUMMYFUNCTION("""COMPUTED_VALUE"""),"6700, 6715, 6705, 6855, 6854, 6753, 6893, 6740, 6830, 6862, 6840, 6800")</f>
        <v>6700, 6715, 6705, 6855, 6854, 6753, 6893, 6740, 6830, 6862, 6840, 6800</v>
      </c>
      <c r="W46" s="14">
        <f ca="1">IFERROR(__xludf.DUMMYFUNCTION("""COMPUTED_VALUE"""),19)</f>
        <v>19</v>
      </c>
      <c r="X46" s="14" t="str">
        <f ca="1">IFERROR(__xludf.DUMMYFUNCTION("""COMPUTED_VALUE"""),"6715, 6700, 6710, 6705, 6830, 6818, 6800, 6855, 6862")</f>
        <v>6715, 6700, 6710, 6705, 6830, 6818, 6800, 6855, 6862</v>
      </c>
      <c r="Y46" s="14" t="str">
        <f ca="1">IFERROR(__xludf.DUMMYFUNCTION("""COMPUTED_VALUE"""),"ja")</f>
        <v>ja</v>
      </c>
      <c r="Z46" s="14"/>
      <c r="AA46" s="18"/>
      <c r="AB46" s="14" t="str">
        <f ca="1">IFERROR(__xludf.DUMMYFUNCTION("""COMPUTED_VALUE"""),"x")</f>
        <v>x</v>
      </c>
      <c r="AC46" s="14" t="str">
        <f ca="1">IFERROR(__xludf.DUMMYFUNCTION("""COMPUTED_VALUE"""),"x")</f>
        <v>x</v>
      </c>
    </row>
    <row r="47" spans="1:29" ht="12.5" x14ac:dyDescent="0.25">
      <c r="A47" s="14" t="str">
        <f ca="1">IFERROR(__xludf.DUMMYFUNCTION("""COMPUTED_VALUE"""),"Camilla")</f>
        <v>Camilla</v>
      </c>
      <c r="B47" s="14" t="str">
        <f ca="1">IFERROR(__xludf.DUMMYFUNCTION("""COMPUTED_VALUE"""),"RealMæglerne Olesen I/S")</f>
        <v>RealMæglerne Olesen I/S</v>
      </c>
      <c r="C47" s="14"/>
      <c r="D47" s="14"/>
      <c r="E47" s="14" t="str">
        <f ca="1">IFERROR(__xludf.DUMMYFUNCTION("""COMPUTED_VALUE"""),"N/A")</f>
        <v>N/A</v>
      </c>
      <c r="F47" s="14" t="str">
        <f ca="1">IFERROR(__xludf.DUMMYFUNCTION("""COMPUTED_VALUE"""),"Henrik Olesen")</f>
        <v>Henrik Olesen</v>
      </c>
      <c r="G47" s="14" t="str">
        <f ca="1">IFERROR(__xludf.DUMMYFUNCTION("""COMPUTED_VALUE"""),"hto@mailreal.dk")</f>
        <v>hto@mailreal.dk</v>
      </c>
      <c r="H47" s="14" t="str">
        <f ca="1">IFERROR(__xludf.DUMMYFUNCTION("""COMPUTED_VALUE"""),"8844 0330")</f>
        <v>8844 0330</v>
      </c>
      <c r="I47" s="14" t="str">
        <f ca="1">IFERROR(__xludf.DUMMYFUNCTION("""COMPUTED_VALUE"""),"Havvej 2, Vedersø Klit")</f>
        <v>Havvej 2, Vedersø Klit</v>
      </c>
      <c r="J47" s="14">
        <f ca="1">IFERROR(__xludf.DUMMYFUNCTION("""COMPUTED_VALUE"""),6990)</f>
        <v>6990</v>
      </c>
      <c r="K47" s="14" t="str">
        <f ca="1">IFERROR(__xludf.DUMMYFUNCTION("""COMPUTED_VALUE"""),"Ulfborg")</f>
        <v>Ulfborg</v>
      </c>
      <c r="L47" s="14" t="str">
        <f ca="1">IFERROR(__xludf.DUMMYFUNCTION("""COMPUTED_VALUE"""),"Holstebro")</f>
        <v>Holstebro</v>
      </c>
      <c r="M47" s="14" t="str">
        <f ca="1">IFERROR(__xludf.DUMMYFUNCTION("""COMPUTED_VALUE"""),"Vestjylland")</f>
        <v>Vestjylland</v>
      </c>
      <c r="N47" s="14" t="str">
        <f ca="1">IFERROR(__xludf.DUMMYFUNCTION("""COMPUTED_VALUE"""),"Midtjylland")</f>
        <v>Midtjylland</v>
      </c>
      <c r="O47" s="14">
        <f ca="1">IFERROR(__xludf.DUMMYFUNCTION("""COMPUTED_VALUE"""),88440330)</f>
        <v>88440330</v>
      </c>
      <c r="P47" s="14" t="str">
        <f ca="1">IFERROR(__xludf.DUMMYFUNCTION("""COMPUTED_VALUE"""),"6990@mailreal.dk")</f>
        <v>6990@mailreal.dk</v>
      </c>
      <c r="Q47" s="15" t="str">
        <f ca="1">IFERROR(__xludf.DUMMYFUNCTION("""COMPUTED_VALUE"""),"https://www.boliga.dk/maegler/18744")</f>
        <v>https://www.boliga.dk/maegler/18744</v>
      </c>
      <c r="R47" s="14" t="str">
        <f ca="1">IFERROR(__xludf.DUMMYFUNCTION("""COMPUTED_VALUE"""),"-")</f>
        <v>-</v>
      </c>
      <c r="S47" s="18" t="str">
        <f ca="1">IFERROR(__xludf.DUMMYFUNCTION("""COMPUTED_VALUE"""),"-")</f>
        <v>-</v>
      </c>
      <c r="T47" s="14" t="str">
        <f ca="1">IFERROR(__xludf.DUMMYFUNCTION("""COMPUTED_VALUE"""),"-")</f>
        <v>-</v>
      </c>
      <c r="U47" s="14">
        <f ca="1">IFERROR(__xludf.DUMMYFUNCTION("""COMPUTED_VALUE"""),16)</f>
        <v>16</v>
      </c>
      <c r="V47" s="14">
        <f ca="1">IFERROR(__xludf.DUMMYFUNCTION("""COMPUTED_VALUE"""),6990)</f>
        <v>6990</v>
      </c>
      <c r="W47" s="14">
        <f ca="1">IFERROR(__xludf.DUMMYFUNCTION("""COMPUTED_VALUE"""),10)</f>
        <v>10</v>
      </c>
      <c r="X47" s="14">
        <f ca="1">IFERROR(__xludf.DUMMYFUNCTION("""COMPUTED_VALUE"""),6990)</f>
        <v>6990</v>
      </c>
      <c r="Y47" s="14" t="str">
        <f ca="1">IFERROR(__xludf.DUMMYFUNCTION("""COMPUTED_VALUE"""),"ja")</f>
        <v>ja</v>
      </c>
      <c r="Z47" s="14"/>
      <c r="AA47" s="16"/>
      <c r="AB47" s="14" t="str">
        <f ca="1">IFERROR(__xludf.DUMMYFUNCTION("""COMPUTED_VALUE"""),"x")</f>
        <v>x</v>
      </c>
      <c r="AC47" s="14" t="str">
        <f ca="1">IFERROR(__xludf.DUMMYFUNCTION("""COMPUTED_VALUE"""),"x")</f>
        <v>x</v>
      </c>
    </row>
    <row r="48" spans="1:29" ht="12.5" x14ac:dyDescent="0.25">
      <c r="A48" s="14" t="str">
        <f ca="1">IFERROR(__xludf.DUMMYFUNCTION("""COMPUTED_VALUE"""),"Camilla")</f>
        <v>Camilla</v>
      </c>
      <c r="B48" s="14" t="str">
        <f ca="1">IFERROR(__xludf.DUMMYFUNCTION("""COMPUTED_VALUE"""),"RealMæglerne Boligbutikken Fredericia ApS")</f>
        <v>RealMæglerne Boligbutikken Fredericia ApS</v>
      </c>
      <c r="C48" s="14">
        <f ca="1">IFERROR(__xludf.DUMMYFUNCTION("""COMPUTED_VALUE"""),39377225)</f>
        <v>39377225</v>
      </c>
      <c r="D48" s="14" t="str">
        <f ca="1">IFERROR(__xludf.DUMMYFUNCTION("""COMPUTED_VALUE"""),"MG-JY: 2.499,-")</f>
        <v>MG-JY: 2.499,-</v>
      </c>
      <c r="E48" s="14">
        <f ca="1">IFERROR(__xludf.DUMMYFUNCTION("""COMPUTED_VALUE"""),1201)</f>
        <v>1201</v>
      </c>
      <c r="F48" s="14" t="str">
        <f ca="1">IFERROR(__xludf.DUMMYFUNCTION("""COMPUTED_VALUE"""),"Jakob Iversen")</f>
        <v>Jakob Iversen</v>
      </c>
      <c r="G48" s="14" t="str">
        <f ca="1">IFERROR(__xludf.DUMMYFUNCTION("""COMPUTED_VALUE"""),"ji@mailreal.dk")</f>
        <v>ji@mailreal.dk</v>
      </c>
      <c r="H48" s="14" t="str">
        <f ca="1">IFERROR(__xludf.DUMMYFUNCTION("""COMPUTED_VALUE"""),"7572 7420")</f>
        <v>7572 7420</v>
      </c>
      <c r="I48" s="14" t="str">
        <f ca="1">IFERROR(__xludf.DUMMYFUNCTION("""COMPUTED_VALUE"""),"Danmarksgade 38")</f>
        <v>Danmarksgade 38</v>
      </c>
      <c r="J48" s="14">
        <f ca="1">IFERROR(__xludf.DUMMYFUNCTION("""COMPUTED_VALUE"""),7000)</f>
        <v>7000</v>
      </c>
      <c r="K48" s="14" t="str">
        <f ca="1">IFERROR(__xludf.DUMMYFUNCTION("""COMPUTED_VALUE"""),"Fredericia")</f>
        <v>Fredericia</v>
      </c>
      <c r="L48" s="14" t="str">
        <f ca="1">IFERROR(__xludf.DUMMYFUNCTION("""COMPUTED_VALUE"""),"Fredericia")</f>
        <v>Fredericia</v>
      </c>
      <c r="M48" s="14" t="str">
        <f ca="1">IFERROR(__xludf.DUMMYFUNCTION("""COMPUTED_VALUE"""),"Sydjylland")</f>
        <v>Sydjylland</v>
      </c>
      <c r="N48" s="14" t="str">
        <f ca="1">IFERROR(__xludf.DUMMYFUNCTION("""COMPUTED_VALUE"""),"Syddanmark")</f>
        <v>Syddanmark</v>
      </c>
      <c r="O48" s="14">
        <f ca="1">IFERROR(__xludf.DUMMYFUNCTION("""COMPUTED_VALUE"""),88442070)</f>
        <v>88442070</v>
      </c>
      <c r="P48" s="14" t="str">
        <f ca="1">IFERROR(__xludf.DUMMYFUNCTION("""COMPUTED_VALUE"""),"7000@mailreal.dk")</f>
        <v>7000@mailreal.dk</v>
      </c>
      <c r="Q48" s="15" t="str">
        <f ca="1">IFERROR(__xludf.DUMMYFUNCTION("""COMPUTED_VALUE"""),"https://www.boliga.dk/maegler/25973")</f>
        <v>https://www.boliga.dk/maegler/25973</v>
      </c>
      <c r="R48" s="14" t="str">
        <f ca="1">IFERROR(__xludf.DUMMYFUNCTION("""COMPUTED_VALUE"""),"-")</f>
        <v>-</v>
      </c>
      <c r="S48" s="18" t="str">
        <f ca="1">IFERROR(__xludf.DUMMYFUNCTION("""COMPUTED_VALUE"""),"-")</f>
        <v>-</v>
      </c>
      <c r="T48" s="14" t="str">
        <f ca="1">IFERROR(__xludf.DUMMYFUNCTION("""COMPUTED_VALUE"""),"-")</f>
        <v>-</v>
      </c>
      <c r="U48" s="14">
        <f ca="1">IFERROR(__xludf.DUMMYFUNCTION("""COMPUTED_VALUE"""),13)</f>
        <v>13</v>
      </c>
      <c r="V48" s="14" t="str">
        <f ca="1">IFERROR(__xludf.DUMMYFUNCTION("""COMPUTED_VALUE"""),"5464, 7000")</f>
        <v>5464, 7000</v>
      </c>
      <c r="W48" s="14">
        <f ca="1">IFERROR(__xludf.DUMMYFUNCTION("""COMPUTED_VALUE"""),21)</f>
        <v>21</v>
      </c>
      <c r="X48" s="14" t="str">
        <f ca="1">IFERROR(__xludf.DUMMYFUNCTION("""COMPUTED_VALUE"""),"7000, 5500")</f>
        <v>7000, 5500</v>
      </c>
      <c r="Y48" s="14" t="str">
        <f ca="1">IFERROR(__xludf.DUMMYFUNCTION("""COMPUTED_VALUE"""),"ja")</f>
        <v>ja</v>
      </c>
      <c r="Z48" s="14"/>
      <c r="AA48" s="16"/>
      <c r="AB48" s="14" t="str">
        <f ca="1">IFERROR(__xludf.DUMMYFUNCTION("""COMPUTED_VALUE"""),"x")</f>
        <v>x</v>
      </c>
      <c r="AC48" s="14" t="str">
        <f ca="1">IFERROR(__xludf.DUMMYFUNCTION("""COMPUTED_VALUE"""),"x")</f>
        <v>x</v>
      </c>
    </row>
    <row r="49" spans="1:29" ht="12.5" x14ac:dyDescent="0.25">
      <c r="A49" s="14" t="str">
        <f ca="1">IFERROR(__xludf.DUMMYFUNCTION("""COMPUTED_VALUE"""),"Camilla")</f>
        <v>Camilla</v>
      </c>
      <c r="B49" s="14" t="str">
        <f ca="1">IFERROR(__xludf.DUMMYFUNCTION("""COMPUTED_VALUE"""),"RealMæglerne Boligbutikken Vejle")</f>
        <v>RealMæglerne Boligbutikken Vejle</v>
      </c>
      <c r="C49" s="14">
        <f ca="1">IFERROR(__xludf.DUMMYFUNCTION("""COMPUTED_VALUE"""),31750520)</f>
        <v>31750520</v>
      </c>
      <c r="D49" s="14" t="str">
        <f ca="1">IFERROR(__xludf.DUMMYFUNCTION("""COMPUTED_VALUE"""),"MG-JY: 2.499,-")</f>
        <v>MG-JY: 2.499,-</v>
      </c>
      <c r="E49" s="14">
        <f ca="1">IFERROR(__xludf.DUMMYFUNCTION("""COMPUTED_VALUE"""),1201)</f>
        <v>1201</v>
      </c>
      <c r="F49" s="14" t="str">
        <f ca="1">IFERROR(__xludf.DUMMYFUNCTION("""COMPUTED_VALUE"""),"Jakob Iversen")</f>
        <v>Jakob Iversen</v>
      </c>
      <c r="G49" s="14" t="str">
        <f ca="1">IFERROR(__xludf.DUMMYFUNCTION("""COMPUTED_VALUE"""),"ji@mailreal.dk")</f>
        <v>ji@mailreal.dk</v>
      </c>
      <c r="H49" s="14" t="str">
        <f ca="1">IFERROR(__xludf.DUMMYFUNCTION("""COMPUTED_VALUE"""),"7572 7420")</f>
        <v>7572 7420</v>
      </c>
      <c r="I49" s="14" t="str">
        <f ca="1">IFERROR(__xludf.DUMMYFUNCTION("""COMPUTED_VALUE"""),"Nørrebrogade 5")</f>
        <v>Nørrebrogade 5</v>
      </c>
      <c r="J49" s="14">
        <f ca="1">IFERROR(__xludf.DUMMYFUNCTION("""COMPUTED_VALUE"""),7100)</f>
        <v>7100</v>
      </c>
      <c r="K49" s="14" t="str">
        <f ca="1">IFERROR(__xludf.DUMMYFUNCTION("""COMPUTED_VALUE"""),"Vejle")</f>
        <v>Vejle</v>
      </c>
      <c r="L49" s="14" t="str">
        <f ca="1">IFERROR(__xludf.DUMMYFUNCTION("""COMPUTED_VALUE"""),"Vejle")</f>
        <v>Vejle</v>
      </c>
      <c r="M49" s="14" t="str">
        <f ca="1">IFERROR(__xludf.DUMMYFUNCTION("""COMPUTED_VALUE"""),"Sydjylland")</f>
        <v>Sydjylland</v>
      </c>
      <c r="N49" s="14" t="str">
        <f ca="1">IFERROR(__xludf.DUMMYFUNCTION("""COMPUTED_VALUE"""),"Syddanmark")</f>
        <v>Syddanmark</v>
      </c>
      <c r="O49" s="14">
        <f ca="1">IFERROR(__xludf.DUMMYFUNCTION("""COMPUTED_VALUE"""),75727420)</f>
        <v>75727420</v>
      </c>
      <c r="P49" s="14" t="str">
        <f ca="1">IFERROR(__xludf.DUMMYFUNCTION("""COMPUTED_VALUE"""),"7100@mailreal.dk")</f>
        <v>7100@mailreal.dk</v>
      </c>
      <c r="Q49" s="15" t="str">
        <f ca="1">IFERROR(__xludf.DUMMYFUNCTION("""COMPUTED_VALUE"""),"https://www.boliga.dk/maegler/1077")</f>
        <v>https://www.boliga.dk/maegler/1077</v>
      </c>
      <c r="R49" s="14" t="str">
        <f ca="1">IFERROR(__xludf.DUMMYFUNCTION("""COMPUTED_VALUE"""),"-")</f>
        <v>-</v>
      </c>
      <c r="S49" s="18" t="str">
        <f ca="1">IFERROR(__xludf.DUMMYFUNCTION("""COMPUTED_VALUE"""),"-")</f>
        <v>-</v>
      </c>
      <c r="T49" s="14" t="str">
        <f ca="1">IFERROR(__xludf.DUMMYFUNCTION("""COMPUTED_VALUE"""),"-")</f>
        <v>-</v>
      </c>
      <c r="U49" s="14">
        <f ca="1">IFERROR(__xludf.DUMMYFUNCTION("""COMPUTED_VALUE"""),42)</f>
        <v>42</v>
      </c>
      <c r="V49" s="14" t="str">
        <f ca="1">IFERROR(__xludf.DUMMYFUNCTION("""COMPUTED_VALUE"""),"6040, 7120, 7100, 7080, 7160, 6052, 7140, 8722, 7900, 7182")</f>
        <v>6040, 7120, 7100, 7080, 7160, 6052, 7140, 8722, 7900, 7182</v>
      </c>
      <c r="W49" s="14">
        <f ca="1">IFERROR(__xludf.DUMMYFUNCTION("""COMPUTED_VALUE"""),24)</f>
        <v>24</v>
      </c>
      <c r="X49" s="14" t="str">
        <f ca="1">IFERROR(__xludf.DUMMYFUNCTION("""COMPUTED_VALUE"""),"6040, 7120, 7100")</f>
        <v>6040, 7120, 7100</v>
      </c>
      <c r="Y49" s="14" t="str">
        <f ca="1">IFERROR(__xludf.DUMMYFUNCTION("""COMPUTED_VALUE"""),"ja")</f>
        <v>ja</v>
      </c>
      <c r="Z49" s="14"/>
      <c r="AA49" s="16"/>
      <c r="AB49" s="14" t="str">
        <f ca="1">IFERROR(__xludf.DUMMYFUNCTION("""COMPUTED_VALUE"""),"x")</f>
        <v>x</v>
      </c>
      <c r="AC49" s="14" t="str">
        <f ca="1">IFERROR(__xludf.DUMMYFUNCTION("""COMPUTED_VALUE"""),"x")</f>
        <v>x</v>
      </c>
    </row>
    <row r="50" spans="1:29" ht="12.5" x14ac:dyDescent="0.25">
      <c r="A50" s="14" t="str">
        <f ca="1">IFERROR(__xludf.DUMMYFUNCTION("""COMPUTED_VALUE"""),"Camilla")</f>
        <v>Camilla</v>
      </c>
      <c r="B50" s="14" t="str">
        <f ca="1">IFERROR(__xludf.DUMMYFUNCTION("""COMPUTED_VALUE"""),"RealMæglerne Boligbutikken Jelling ApS")</f>
        <v>RealMæglerne Boligbutikken Jelling ApS</v>
      </c>
      <c r="C50" s="14">
        <f ca="1">IFERROR(__xludf.DUMMYFUNCTION("""COMPUTED_VALUE"""),33066821)</f>
        <v>33066821</v>
      </c>
      <c r="D50" s="14" t="str">
        <f ca="1">IFERROR(__xludf.DUMMYFUNCTION("""COMPUTED_VALUE"""),"MG-JY: 2.499,-")</f>
        <v>MG-JY: 2.499,-</v>
      </c>
      <c r="E50" s="14">
        <f ca="1">IFERROR(__xludf.DUMMYFUNCTION("""COMPUTED_VALUE"""),1201)</f>
        <v>1201</v>
      </c>
      <c r="F50" s="14" t="str">
        <f ca="1">IFERROR(__xludf.DUMMYFUNCTION("""COMPUTED_VALUE"""),"Jakob Iversen")</f>
        <v>Jakob Iversen</v>
      </c>
      <c r="G50" s="14" t="str">
        <f ca="1">IFERROR(__xludf.DUMMYFUNCTION("""COMPUTED_VALUE"""),"ji@mailreal.dk")</f>
        <v>ji@mailreal.dk</v>
      </c>
      <c r="H50" s="14" t="str">
        <f ca="1">IFERROR(__xludf.DUMMYFUNCTION("""COMPUTED_VALUE"""),"7572 7420")</f>
        <v>7572 7420</v>
      </c>
      <c r="I50" s="14" t="str">
        <f ca="1">IFERROR(__xludf.DUMMYFUNCTION("""COMPUTED_VALUE"""),"Stationsvej 13")</f>
        <v>Stationsvej 13</v>
      </c>
      <c r="J50" s="14">
        <f ca="1">IFERROR(__xludf.DUMMYFUNCTION("""COMPUTED_VALUE"""),7300)</f>
        <v>7300</v>
      </c>
      <c r="K50" s="14" t="str">
        <f ca="1">IFERROR(__xludf.DUMMYFUNCTION("""COMPUTED_VALUE"""),"Jelling")</f>
        <v>Jelling</v>
      </c>
      <c r="L50" s="14" t="str">
        <f ca="1">IFERROR(__xludf.DUMMYFUNCTION("""COMPUTED_VALUE"""),"Vejle")</f>
        <v>Vejle</v>
      </c>
      <c r="M50" s="14" t="str">
        <f ca="1">IFERROR(__xludf.DUMMYFUNCTION("""COMPUTED_VALUE"""),"Sydjylland")</f>
        <v>Sydjylland</v>
      </c>
      <c r="N50" s="14" t="str">
        <f ca="1">IFERROR(__xludf.DUMMYFUNCTION("""COMPUTED_VALUE"""),"Syddanmark")</f>
        <v>Syddanmark</v>
      </c>
      <c r="O50" s="14">
        <f ca="1">IFERROR(__xludf.DUMMYFUNCTION("""COMPUTED_VALUE"""),75727444)</f>
        <v>75727444</v>
      </c>
      <c r="P50" s="14" t="str">
        <f ca="1">IFERROR(__xludf.DUMMYFUNCTION("""COMPUTED_VALUE"""),"7300@mailreal.dk")</f>
        <v>7300@mailreal.dk</v>
      </c>
      <c r="Q50" s="15" t="str">
        <f ca="1">IFERROR(__xludf.DUMMYFUNCTION("""COMPUTED_VALUE"""),"https://www.boliga.dk/maegler/720")</f>
        <v>https://www.boliga.dk/maegler/720</v>
      </c>
      <c r="R50" s="14" t="str">
        <f ca="1">IFERROR(__xludf.DUMMYFUNCTION("""COMPUTED_VALUE"""),"-")</f>
        <v>-</v>
      </c>
      <c r="S50" s="18" t="str">
        <f ca="1">IFERROR(__xludf.DUMMYFUNCTION("""COMPUTED_VALUE"""),"-")</f>
        <v>-</v>
      </c>
      <c r="T50" s="14" t="str">
        <f ca="1">IFERROR(__xludf.DUMMYFUNCTION("""COMPUTED_VALUE"""),"-")</f>
        <v>-</v>
      </c>
      <c r="U50" s="14">
        <f ca="1">IFERROR(__xludf.DUMMYFUNCTION("""COMPUTED_VALUE"""),26)</f>
        <v>26</v>
      </c>
      <c r="V50" s="14" t="str">
        <f ca="1">IFERROR(__xludf.DUMMYFUNCTION("""COMPUTED_VALUE"""),"7300, 7182, 7160, 7171, 7321")</f>
        <v>7300, 7182, 7160, 7171, 7321</v>
      </c>
      <c r="W50" s="14">
        <f ca="1">IFERROR(__xludf.DUMMYFUNCTION("""COMPUTED_VALUE"""),14)</f>
        <v>14</v>
      </c>
      <c r="X50" s="14" t="str">
        <f ca="1">IFERROR(__xludf.DUMMYFUNCTION("""COMPUTED_VALUE"""),"7300, 7173, 7160, 7182, 7321")</f>
        <v>7300, 7173, 7160, 7182, 7321</v>
      </c>
      <c r="Y50" s="14" t="str">
        <f ca="1">IFERROR(__xludf.DUMMYFUNCTION("""COMPUTED_VALUE"""),"ja")</f>
        <v>ja</v>
      </c>
      <c r="Z50" s="14"/>
      <c r="AA50" s="16"/>
      <c r="AB50" s="14" t="str">
        <f ca="1">IFERROR(__xludf.DUMMYFUNCTION("""COMPUTED_VALUE"""),"x")</f>
        <v>x</v>
      </c>
      <c r="AC50" s="14" t="str">
        <f ca="1">IFERROR(__xludf.DUMMYFUNCTION("""COMPUTED_VALUE"""),"x")</f>
        <v>x</v>
      </c>
    </row>
    <row r="51" spans="1:29" ht="12.5" x14ac:dyDescent="0.25">
      <c r="A51" s="14" t="str">
        <f ca="1">IFERROR(__xludf.DUMMYFUNCTION("""COMPUTED_VALUE"""),"Camilla")</f>
        <v>Camilla</v>
      </c>
      <c r="B51" s="14" t="str">
        <f ca="1">IFERROR(__xludf.DUMMYFUNCTION("""COMPUTED_VALUE"""),"RealMæglerne Herning")</f>
        <v>RealMæglerne Herning</v>
      </c>
      <c r="C51" s="14">
        <f ca="1">IFERROR(__xludf.DUMMYFUNCTION("""COMPUTED_VALUE"""),36280514)</f>
        <v>36280514</v>
      </c>
      <c r="D51" s="14" t="str">
        <f ca="1">IFERROR(__xludf.DUMMYFUNCTION("""COMPUTED_VALUE"""),"MG-JY: 2.499,-")</f>
        <v>MG-JY: 2.499,-</v>
      </c>
      <c r="E51" s="14">
        <f ca="1">IFERROR(__xludf.DUMMYFUNCTION("""COMPUTED_VALUE"""),1201)</f>
        <v>1201</v>
      </c>
      <c r="F51" s="14" t="str">
        <f ca="1">IFERROR(__xludf.DUMMYFUNCTION("""COMPUTED_VALUE"""),"Ole Engelbredt")</f>
        <v>Ole Engelbredt</v>
      </c>
      <c r="G51" s="14" t="str">
        <f ca="1">IFERROR(__xludf.DUMMYFUNCTION("""COMPUTED_VALUE"""),"oe@mailreal.dk")</f>
        <v>oe@mailreal.dk</v>
      </c>
      <c r="H51" s="14" t="str">
        <f ca="1">IFERROR(__xludf.DUMMYFUNCTION("""COMPUTED_VALUE"""),"7199 7537")</f>
        <v>7199 7537</v>
      </c>
      <c r="I51" s="14" t="str">
        <f ca="1">IFERROR(__xludf.DUMMYFUNCTION("""COMPUTED_VALUE"""),"Nygade 8 C")</f>
        <v>Nygade 8 C</v>
      </c>
      <c r="J51" s="14">
        <f ca="1">IFERROR(__xludf.DUMMYFUNCTION("""COMPUTED_VALUE"""),7400)</f>
        <v>7400</v>
      </c>
      <c r="K51" s="14" t="str">
        <f ca="1">IFERROR(__xludf.DUMMYFUNCTION("""COMPUTED_VALUE"""),"Herning")</f>
        <v>Herning</v>
      </c>
      <c r="L51" s="14" t="str">
        <f ca="1">IFERROR(__xludf.DUMMYFUNCTION("""COMPUTED_VALUE"""),"Herning")</f>
        <v>Herning</v>
      </c>
      <c r="M51" s="14" t="str">
        <f ca="1">IFERROR(__xludf.DUMMYFUNCTION("""COMPUTED_VALUE"""),"Vestjylland")</f>
        <v>Vestjylland</v>
      </c>
      <c r="N51" s="14" t="str">
        <f ca="1">IFERROR(__xludf.DUMMYFUNCTION("""COMPUTED_VALUE"""),"Midtjylland")</f>
        <v>Midtjylland</v>
      </c>
      <c r="O51" s="14">
        <f ca="1">IFERROR(__xludf.DUMMYFUNCTION("""COMPUTED_VALUE"""),70605607)</f>
        <v>70605607</v>
      </c>
      <c r="P51" s="14" t="str">
        <f ca="1">IFERROR(__xludf.DUMMYFUNCTION("""COMPUTED_VALUE"""),"7400@mailreal.dk")</f>
        <v>7400@mailreal.dk</v>
      </c>
      <c r="Q51" s="15" t="str">
        <f ca="1">IFERROR(__xludf.DUMMYFUNCTION("""COMPUTED_VALUE"""),"https://www.boliga.dk/maegler/19183")</f>
        <v>https://www.boliga.dk/maegler/19183</v>
      </c>
      <c r="R51" s="14" t="str">
        <f ca="1">IFERROR(__xludf.DUMMYFUNCTION("""COMPUTED_VALUE"""),"-")</f>
        <v>-</v>
      </c>
      <c r="S51" s="18" t="str">
        <f ca="1">IFERROR(__xludf.DUMMYFUNCTION("""COMPUTED_VALUE"""),"-")</f>
        <v>-</v>
      </c>
      <c r="T51" s="14" t="str">
        <f ca="1">IFERROR(__xludf.DUMMYFUNCTION("""COMPUTED_VALUE"""),"-")</f>
        <v>-</v>
      </c>
      <c r="U51" s="14">
        <f ca="1">IFERROR(__xludf.DUMMYFUNCTION("""COMPUTED_VALUE"""),17)</f>
        <v>17</v>
      </c>
      <c r="V51" s="14" t="str">
        <f ca="1">IFERROR(__xludf.DUMMYFUNCTION("""COMPUTED_VALUE"""),"7441, 7451, 6933, 7480, 7400")</f>
        <v>7441, 7451, 6933, 7480, 7400</v>
      </c>
      <c r="W51" s="14">
        <f ca="1">IFERROR(__xludf.DUMMYFUNCTION("""COMPUTED_VALUE"""),20)</f>
        <v>20</v>
      </c>
      <c r="X51" s="14" t="str">
        <f ca="1">IFERROR(__xludf.DUMMYFUNCTION("""COMPUTED_VALUE"""),"7280, 7480, 7400")</f>
        <v>7280, 7480, 7400</v>
      </c>
      <c r="Y51" s="14" t="str">
        <f ca="1">IFERROR(__xludf.DUMMYFUNCTION("""COMPUTED_VALUE"""),"ja")</f>
        <v>ja</v>
      </c>
      <c r="Z51" s="14"/>
      <c r="AA51" s="16"/>
      <c r="AB51" s="14" t="str">
        <f ca="1">IFERROR(__xludf.DUMMYFUNCTION("""COMPUTED_VALUE"""),"x")</f>
        <v>x</v>
      </c>
      <c r="AC51" s="14" t="str">
        <f ca="1">IFERROR(__xludf.DUMMYFUNCTION("""COMPUTED_VALUE"""),"x")</f>
        <v>x</v>
      </c>
    </row>
    <row r="52" spans="1:29" ht="12.5" x14ac:dyDescent="0.25">
      <c r="A52" s="14" t="str">
        <f ca="1">IFERROR(__xludf.DUMMYFUNCTION("""COMPUTED_VALUE"""),"Camilla")</f>
        <v>Camilla</v>
      </c>
      <c r="B52" s="14" t="str">
        <f ca="1">IFERROR(__xludf.DUMMYFUNCTION("""COMPUTED_VALUE"""),"RealMæglerne Bjerregaard &amp; Engelbredt")</f>
        <v>RealMæglerne Bjerregaard &amp; Engelbredt</v>
      </c>
      <c r="C52" s="14">
        <f ca="1">IFERROR(__xludf.DUMMYFUNCTION("""COMPUTED_VALUE"""),35092064)</f>
        <v>35092064</v>
      </c>
      <c r="D52" s="14" t="str">
        <f ca="1">IFERROR(__xludf.DUMMYFUNCTION("""COMPUTED_VALUE"""),"MG-JY: 2.499,-")</f>
        <v>MG-JY: 2.499,-</v>
      </c>
      <c r="E52" s="14">
        <f ca="1">IFERROR(__xludf.DUMMYFUNCTION("""COMPUTED_VALUE"""),1201)</f>
        <v>1201</v>
      </c>
      <c r="F52" s="14" t="str">
        <f ca="1">IFERROR(__xludf.DUMMYFUNCTION("""COMPUTED_VALUE"""),"Ole Engelbredt")</f>
        <v>Ole Engelbredt</v>
      </c>
      <c r="G52" s="14" t="str">
        <f ca="1">IFERROR(__xludf.DUMMYFUNCTION("""COMPUTED_VALUE"""),"oe@mailreal.dk")</f>
        <v>oe@mailreal.dk</v>
      </c>
      <c r="H52" s="14" t="str">
        <f ca="1">IFERROR(__xludf.DUMMYFUNCTION("""COMPUTED_VALUE"""),"7199 7537")</f>
        <v>7199 7537</v>
      </c>
      <c r="I52" s="14" t="str">
        <f ca="1">IFERROR(__xludf.DUMMYFUNCTION("""COMPUTED_VALUE"""),"Jeppe Schous Gade 4")</f>
        <v>Jeppe Schous Gade 4</v>
      </c>
      <c r="J52" s="14">
        <f ca="1">IFERROR(__xludf.DUMMYFUNCTION("""COMPUTED_VALUE"""),7500)</f>
        <v>7500</v>
      </c>
      <c r="K52" s="14" t="str">
        <f ca="1">IFERROR(__xludf.DUMMYFUNCTION("""COMPUTED_VALUE"""),"Holstebro")</f>
        <v>Holstebro</v>
      </c>
      <c r="L52" s="14" t="str">
        <f ca="1">IFERROR(__xludf.DUMMYFUNCTION("""COMPUTED_VALUE"""),"Holstebro")</f>
        <v>Holstebro</v>
      </c>
      <c r="M52" s="14" t="str">
        <f ca="1">IFERROR(__xludf.DUMMYFUNCTION("""COMPUTED_VALUE"""),"Vestjylland")</f>
        <v>Vestjylland</v>
      </c>
      <c r="N52" s="14" t="str">
        <f ca="1">IFERROR(__xludf.DUMMYFUNCTION("""COMPUTED_VALUE"""),"Midtjylland")</f>
        <v>Midtjylland</v>
      </c>
      <c r="O52" s="14">
        <f ca="1">IFERROR(__xludf.DUMMYFUNCTION("""COMPUTED_VALUE"""),97401911)</f>
        <v>97401911</v>
      </c>
      <c r="P52" s="14" t="str">
        <f ca="1">IFERROR(__xludf.DUMMYFUNCTION("""COMPUTED_VALUE"""),"7500@mailreal.dk")</f>
        <v>7500@mailreal.dk</v>
      </c>
      <c r="Q52" s="15" t="str">
        <f ca="1">IFERROR(__xludf.DUMMYFUNCTION("""COMPUTED_VALUE"""),"https://www.boliga.dk/maegler/613")</f>
        <v>https://www.boliga.dk/maegler/613</v>
      </c>
      <c r="R52" s="14" t="str">
        <f ca="1">IFERROR(__xludf.DUMMYFUNCTION("""COMPUTED_VALUE"""),"-")</f>
        <v>-</v>
      </c>
      <c r="S52" s="18" t="str">
        <f ca="1">IFERROR(__xludf.DUMMYFUNCTION("""COMPUTED_VALUE"""),"-")</f>
        <v>-</v>
      </c>
      <c r="T52" s="14" t="str">
        <f ca="1">IFERROR(__xludf.DUMMYFUNCTION("""COMPUTED_VALUE"""),"-")</f>
        <v>-</v>
      </c>
      <c r="U52" s="14">
        <f ca="1">IFERROR(__xludf.DUMMYFUNCTION("""COMPUTED_VALUE"""),38)</f>
        <v>38</v>
      </c>
      <c r="V52" s="14" t="str">
        <f ca="1">IFERROR(__xludf.DUMMYFUNCTION("""COMPUTED_VALUE"""),"7600, 6980, 6960, 7500, 7560, 6990, 7570, 7650, 7830")</f>
        <v>7600, 6980, 6960, 7500, 7560, 6990, 7570, 7650, 7830</v>
      </c>
      <c r="W52" s="14">
        <f ca="1">IFERROR(__xludf.DUMMYFUNCTION("""COMPUTED_VALUE"""),25)</f>
        <v>25</v>
      </c>
      <c r="X52" s="14" t="str">
        <f ca="1">IFERROR(__xludf.DUMMYFUNCTION("""COMPUTED_VALUE"""),"7500, 7600, 7560, 7620, 7673, 7830")</f>
        <v>7500, 7600, 7560, 7620, 7673, 7830</v>
      </c>
      <c r="Y52" s="14" t="str">
        <f ca="1">IFERROR(__xludf.DUMMYFUNCTION("""COMPUTED_VALUE"""),"ja")</f>
        <v>ja</v>
      </c>
      <c r="Z52" s="14"/>
      <c r="AA52" s="16"/>
      <c r="AB52" s="14" t="str">
        <f ca="1">IFERROR(__xludf.DUMMYFUNCTION("""COMPUTED_VALUE"""),"x")</f>
        <v>x</v>
      </c>
      <c r="AC52" s="14" t="str">
        <f ca="1">IFERROR(__xludf.DUMMYFUNCTION("""COMPUTED_VALUE"""),"x")</f>
        <v>x</v>
      </c>
    </row>
    <row r="53" spans="1:29" ht="12.5" x14ac:dyDescent="0.25">
      <c r="A53" s="14" t="str">
        <f ca="1">IFERROR(__xludf.DUMMYFUNCTION("""COMPUTED_VALUE"""),"Camilla")</f>
        <v>Camilla</v>
      </c>
      <c r="B53" s="14" t="str">
        <f ca="1">IFERROR(__xludf.DUMMYFUNCTION("""COMPUTED_VALUE"""),"RealMæglerne Carsten Andersen")</f>
        <v>RealMæglerne Carsten Andersen</v>
      </c>
      <c r="C53" s="14">
        <f ca="1">IFERROR(__xludf.DUMMYFUNCTION("""COMPUTED_VALUE"""),31823854)</f>
        <v>31823854</v>
      </c>
      <c r="D53" s="14" t="str">
        <f ca="1">IFERROR(__xludf.DUMMYFUNCTION("""COMPUTED_VALUE"""),"MG-JY: 2.499,-")</f>
        <v>MG-JY: 2.499,-</v>
      </c>
      <c r="E53" s="14">
        <f ca="1">IFERROR(__xludf.DUMMYFUNCTION("""COMPUTED_VALUE"""),1201)</f>
        <v>1201</v>
      </c>
      <c r="F53" s="14" t="str">
        <f ca="1">IFERROR(__xludf.DUMMYFUNCTION("""COMPUTED_VALUE"""),"Carsten Andersen ")</f>
        <v xml:space="preserve">Carsten Andersen </v>
      </c>
      <c r="G53" s="14" t="str">
        <f ca="1">IFERROR(__xludf.DUMMYFUNCTION("""COMPUTED_VALUE"""),"cma@mailreal.dk")</f>
        <v>cma@mailreal.dk</v>
      </c>
      <c r="H53" s="14" t="str">
        <f ca="1">IFERROR(__xludf.DUMMYFUNCTION("""COMPUTED_VALUE"""),"2633 8620")</f>
        <v>2633 8620</v>
      </c>
      <c r="I53" s="14" t="str">
        <f ca="1">IFERROR(__xludf.DUMMYFUNCTION("""COMPUTED_VALUE"""),"Rosenvangs Alle 176")</f>
        <v>Rosenvangs Alle 176</v>
      </c>
      <c r="J53" s="14">
        <f ca="1">IFERROR(__xludf.DUMMYFUNCTION("""COMPUTED_VALUE"""),8270)</f>
        <v>8270</v>
      </c>
      <c r="K53" s="14" t="str">
        <f ca="1">IFERROR(__xludf.DUMMYFUNCTION("""COMPUTED_VALUE"""),"Højbjerg")</f>
        <v>Højbjerg</v>
      </c>
      <c r="L53" s="14" t="str">
        <f ca="1">IFERROR(__xludf.DUMMYFUNCTION("""COMPUTED_VALUE"""),"Aarhus")</f>
        <v>Aarhus</v>
      </c>
      <c r="M53" s="14" t="str">
        <f ca="1">IFERROR(__xludf.DUMMYFUNCTION("""COMPUTED_VALUE"""),"Østjylland")</f>
        <v>Østjylland</v>
      </c>
      <c r="N53" s="14" t="str">
        <f ca="1">IFERROR(__xludf.DUMMYFUNCTION("""COMPUTED_VALUE"""),"Midtjylland")</f>
        <v>Midtjylland</v>
      </c>
      <c r="O53" s="14">
        <f ca="1">IFERROR(__xludf.DUMMYFUNCTION("""COMPUTED_VALUE"""),86272739)</f>
        <v>86272739</v>
      </c>
      <c r="P53" s="14" t="str">
        <f ca="1">IFERROR(__xludf.DUMMYFUNCTION("""COMPUTED_VALUE"""),"8270@mailreal.dk")</f>
        <v>8270@mailreal.dk</v>
      </c>
      <c r="Q53" s="15" t="str">
        <f ca="1">IFERROR(__xludf.DUMMYFUNCTION("""COMPUTED_VALUE"""),"https://www.boliga.dk/maegler/26925")</f>
        <v>https://www.boliga.dk/maegler/26925</v>
      </c>
      <c r="R53" s="14" t="str">
        <f ca="1">IFERROR(__xludf.DUMMYFUNCTION("""COMPUTED_VALUE"""),"-")</f>
        <v>-</v>
      </c>
      <c r="S53" s="18" t="str">
        <f ca="1">IFERROR(__xludf.DUMMYFUNCTION("""COMPUTED_VALUE"""),"-")</f>
        <v>-</v>
      </c>
      <c r="T53" s="14" t="str">
        <f ca="1">IFERROR(__xludf.DUMMYFUNCTION("""COMPUTED_VALUE"""),"-")</f>
        <v>-</v>
      </c>
      <c r="U53" s="14">
        <f ca="1">IFERROR(__xludf.DUMMYFUNCTION("""COMPUTED_VALUE"""),9)</f>
        <v>9</v>
      </c>
      <c r="V53" s="14" t="str">
        <f ca="1">IFERROR(__xludf.DUMMYFUNCTION("""COMPUTED_VALUE"""),"8471, 8310, 8000, 8382, 8270, 8660")</f>
        <v>8471, 8310, 8000, 8382, 8270, 8660</v>
      </c>
      <c r="W53" s="14">
        <f ca="1">IFERROR(__xludf.DUMMYFUNCTION("""COMPUTED_VALUE"""),10)</f>
        <v>10</v>
      </c>
      <c r="X53" s="14" t="str">
        <f ca="1">IFERROR(__xludf.DUMMYFUNCTION("""COMPUTED_VALUE"""),"8000, 8362, 8300, 8355, 8270, 8361, 9480")</f>
        <v>8000, 8362, 8300, 8355, 8270, 8361, 9480</v>
      </c>
      <c r="Y53" s="14" t="str">
        <f ca="1">IFERROR(__xludf.DUMMYFUNCTION("""COMPUTED_VALUE"""),"ja")</f>
        <v>ja</v>
      </c>
      <c r="Z53" s="14"/>
      <c r="AA53" s="16"/>
      <c r="AB53" s="14" t="str">
        <f ca="1">IFERROR(__xludf.DUMMYFUNCTION("""COMPUTED_VALUE"""),"x")</f>
        <v>x</v>
      </c>
      <c r="AC53" s="14" t="str">
        <f ca="1">IFERROR(__xludf.DUMMYFUNCTION("""COMPUTED_VALUE"""),"x")</f>
        <v>x</v>
      </c>
    </row>
    <row r="54" spans="1:29" ht="12.5" x14ac:dyDescent="0.25">
      <c r="A54" s="14" t="str">
        <f ca="1">IFERROR(__xludf.DUMMYFUNCTION("""COMPUTED_VALUE"""),"Camilla")</f>
        <v>Camilla</v>
      </c>
      <c r="B54" s="14" t="str">
        <f ca="1">IFERROR(__xludf.DUMMYFUNCTION("""COMPUTED_VALUE"""),"RealMæglerne Silkeborg ApS v/Louise og Christian Dahl Brøndum")</f>
        <v>RealMæglerne Silkeborg ApS v/Louise og Christian Dahl Brøndum</v>
      </c>
      <c r="C54" s="14">
        <f ca="1">IFERROR(__xludf.DUMMYFUNCTION("""COMPUTED_VALUE"""),39208075)</f>
        <v>39208075</v>
      </c>
      <c r="D54" s="14" t="str">
        <f ca="1">IFERROR(__xludf.DUMMYFUNCTION("""COMPUTED_VALUE"""),"MG-JY: 2.499,-")</f>
        <v>MG-JY: 2.499,-</v>
      </c>
      <c r="E54" s="14">
        <f ca="1">IFERROR(__xludf.DUMMYFUNCTION("""COMPUTED_VALUE"""),1201)</f>
        <v>1201</v>
      </c>
      <c r="F54" s="14" t="str">
        <f ca="1">IFERROR(__xludf.DUMMYFUNCTION("""COMPUTED_VALUE"""),"Louise Brøndum ")</f>
        <v xml:space="preserve">Louise Brøndum </v>
      </c>
      <c r="G54" s="14" t="str">
        <f ca="1">IFERROR(__xludf.DUMMYFUNCTION("""COMPUTED_VALUE"""),"ldb@mailreal.dk")</f>
        <v>ldb@mailreal.dk</v>
      </c>
      <c r="H54" s="14" t="str">
        <f ca="1">IFERROR(__xludf.DUMMYFUNCTION("""COMPUTED_VALUE"""),"2682 7232")</f>
        <v>2682 7232</v>
      </c>
      <c r="I54" s="14" t="str">
        <f ca="1">IFERROR(__xludf.DUMMYFUNCTION("""COMPUTED_VALUE"""),"Tværgade 22")</f>
        <v>Tværgade 22</v>
      </c>
      <c r="J54" s="14">
        <f ca="1">IFERROR(__xludf.DUMMYFUNCTION("""COMPUTED_VALUE"""),8600)</f>
        <v>8600</v>
      </c>
      <c r="K54" s="14" t="str">
        <f ca="1">IFERROR(__xludf.DUMMYFUNCTION("""COMPUTED_VALUE"""),"Silkeborg")</f>
        <v>Silkeborg</v>
      </c>
      <c r="L54" s="14" t="str">
        <f ca="1">IFERROR(__xludf.DUMMYFUNCTION("""COMPUTED_VALUE"""),"Silkeborg")</f>
        <v>Silkeborg</v>
      </c>
      <c r="M54" s="14" t="str">
        <f ca="1">IFERROR(__xludf.DUMMYFUNCTION("""COMPUTED_VALUE"""),"Østjylland")</f>
        <v>Østjylland</v>
      </c>
      <c r="N54" s="14" t="str">
        <f ca="1">IFERROR(__xludf.DUMMYFUNCTION("""COMPUTED_VALUE"""),"Midtjylland")</f>
        <v>Midtjylland</v>
      </c>
      <c r="O54" s="14" t="str">
        <f ca="1">IFERROR(__xludf.DUMMYFUNCTION("""COMPUTED_VALUE"""),"8980 8606")</f>
        <v>8980 8606</v>
      </c>
      <c r="P54" s="14" t="str">
        <f ca="1">IFERROR(__xludf.DUMMYFUNCTION("""COMPUTED_VALUE"""),"silkeborg@mailreal.dk")</f>
        <v>silkeborg@mailreal.dk</v>
      </c>
      <c r="Q54" s="15" t="str">
        <f ca="1">IFERROR(__xludf.DUMMYFUNCTION("""COMPUTED_VALUE"""),"https://www.boliga.dk/maegler/24723")</f>
        <v>https://www.boliga.dk/maegler/24723</v>
      </c>
      <c r="R54" s="14" t="str">
        <f ca="1">IFERROR(__xludf.DUMMYFUNCTION("""COMPUTED_VALUE"""),"-")</f>
        <v>-</v>
      </c>
      <c r="S54" s="18" t="str">
        <f ca="1">IFERROR(__xludf.DUMMYFUNCTION("""COMPUTED_VALUE"""),"-")</f>
        <v>-</v>
      </c>
      <c r="T54" s="14" t="str">
        <f ca="1">IFERROR(__xludf.DUMMYFUNCTION("""COMPUTED_VALUE"""),"-")</f>
        <v>-</v>
      </c>
      <c r="U54" s="14">
        <f ca="1">IFERROR(__xludf.DUMMYFUNCTION("""COMPUTED_VALUE"""),38)</f>
        <v>38</v>
      </c>
      <c r="V54" s="14" t="str">
        <f ca="1">IFERROR(__xludf.DUMMYFUNCTION("""COMPUTED_VALUE"""),"8600, 7442, 7441, 8620, 8632, 8643, 8653, 8740")</f>
        <v>8600, 7442, 7441, 8620, 8632, 8643, 8653, 8740</v>
      </c>
      <c r="W54" s="14">
        <f ca="1">IFERROR(__xludf.DUMMYFUNCTION("""COMPUTED_VALUE"""),35)</f>
        <v>35</v>
      </c>
      <c r="X54" s="14" t="str">
        <f ca="1">IFERROR(__xludf.DUMMYFUNCTION("""COMPUTED_VALUE"""),"8600, 6960, 8632, 8620, 8653, 7442")</f>
        <v>8600, 6960, 8632, 8620, 8653, 7442</v>
      </c>
      <c r="Y54" s="14" t="str">
        <f ca="1">IFERROR(__xludf.DUMMYFUNCTION("""COMPUTED_VALUE"""),"ja")</f>
        <v>ja</v>
      </c>
      <c r="Z54" s="14"/>
      <c r="AA54" s="16"/>
      <c r="AB54" s="14" t="str">
        <f ca="1">IFERROR(__xludf.DUMMYFUNCTION("""COMPUTED_VALUE"""),"x")</f>
        <v>x</v>
      </c>
      <c r="AC54" s="14" t="str">
        <f ca="1">IFERROR(__xludf.DUMMYFUNCTION("""COMPUTED_VALUE"""),"x")</f>
        <v>x</v>
      </c>
    </row>
    <row r="55" spans="1:29" ht="12.5" x14ac:dyDescent="0.25">
      <c r="A55" s="14" t="str">
        <f ca="1">IFERROR(__xludf.DUMMYFUNCTION("""COMPUTED_VALUE"""),"Camilla")</f>
        <v>Camilla</v>
      </c>
      <c r="B55" s="14" t="str">
        <f ca="1">IFERROR(__xludf.DUMMYFUNCTION("""COMPUTED_VALUE"""),"RealMæglerne Horsens - Rikke, Søren &amp; Julie ApS")</f>
        <v>RealMæglerne Horsens - Rikke, Søren &amp; Julie ApS</v>
      </c>
      <c r="C55" s="14">
        <f ca="1">IFERROR(__xludf.DUMMYFUNCTION("""COMPUTED_VALUE"""),41587733)</f>
        <v>41587733</v>
      </c>
      <c r="D55" s="14" t="str">
        <f ca="1">IFERROR(__xludf.DUMMYFUNCTION("""COMPUTED_VALUE"""),"MG-JY: 2.499,-")</f>
        <v>MG-JY: 2.499,-</v>
      </c>
      <c r="E55" s="14">
        <f ca="1">IFERROR(__xludf.DUMMYFUNCTION("""COMPUTED_VALUE"""),1201)</f>
        <v>1201</v>
      </c>
      <c r="F55" s="14" t="str">
        <f ca="1">IFERROR(__xludf.DUMMYFUNCTION("""COMPUTED_VALUE"""),"Rikke Klausen ")</f>
        <v xml:space="preserve">Rikke Klausen </v>
      </c>
      <c r="G55" s="14" t="str">
        <f ca="1">IFERROR(__xludf.DUMMYFUNCTION("""COMPUTED_VALUE"""),"rikke@mailreal.dk")</f>
        <v>rikke@mailreal.dk</v>
      </c>
      <c r="H55" s="14" t="str">
        <f ca="1">IFERROR(__xludf.DUMMYFUNCTION("""COMPUTED_VALUE"""),"2528 3838")</f>
        <v>2528 3838</v>
      </c>
      <c r="I55" s="14" t="str">
        <f ca="1">IFERROR(__xludf.DUMMYFUNCTION("""COMPUTED_VALUE"""),"Bjerrevej 146C")</f>
        <v>Bjerrevej 146C</v>
      </c>
      <c r="J55" s="14">
        <f ca="1">IFERROR(__xludf.DUMMYFUNCTION("""COMPUTED_VALUE"""),8700)</f>
        <v>8700</v>
      </c>
      <c r="K55" s="14" t="str">
        <f ca="1">IFERROR(__xludf.DUMMYFUNCTION("""COMPUTED_VALUE"""),"Horsens")</f>
        <v>Horsens</v>
      </c>
      <c r="L55" s="14" t="str">
        <f ca="1">IFERROR(__xludf.DUMMYFUNCTION("""COMPUTED_VALUE"""),"Horsens")</f>
        <v>Horsens</v>
      </c>
      <c r="M55" s="14" t="str">
        <f ca="1">IFERROR(__xludf.DUMMYFUNCTION("""COMPUTED_VALUE"""),"Østjylland")</f>
        <v>Østjylland</v>
      </c>
      <c r="N55" s="14" t="str">
        <f ca="1">IFERROR(__xludf.DUMMYFUNCTION("""COMPUTED_VALUE"""),"Midtjylland")</f>
        <v>Midtjylland</v>
      </c>
      <c r="O55" s="14">
        <f ca="1">IFERROR(__xludf.DUMMYFUNCTION("""COMPUTED_VALUE"""),77338700)</f>
        <v>77338700</v>
      </c>
      <c r="P55" s="14" t="str">
        <f ca="1">IFERROR(__xludf.DUMMYFUNCTION("""COMPUTED_VALUE"""),"horsens@mailreal.dk")</f>
        <v>horsens@mailreal.dk</v>
      </c>
      <c r="Q55" s="15" t="str">
        <f ca="1">IFERROR(__xludf.DUMMYFUNCTION("""COMPUTED_VALUE"""),"https://www.boliga.dk/maegler/25317")</f>
        <v>https://www.boliga.dk/maegler/25317</v>
      </c>
      <c r="R55" s="14" t="str">
        <f ca="1">IFERROR(__xludf.DUMMYFUNCTION("""COMPUTED_VALUE"""),"-")</f>
        <v>-</v>
      </c>
      <c r="S55" s="18" t="str">
        <f ca="1">IFERROR(__xludf.DUMMYFUNCTION("""COMPUTED_VALUE"""),"-")</f>
        <v>-</v>
      </c>
      <c r="T55" s="14" t="str">
        <f ca="1">IFERROR(__xludf.DUMMYFUNCTION("""COMPUTED_VALUE"""),"-")</f>
        <v>-</v>
      </c>
      <c r="U55" s="14">
        <f ca="1">IFERROR(__xludf.DUMMYFUNCTION("""COMPUTED_VALUE"""),32)</f>
        <v>32</v>
      </c>
      <c r="V55" s="14" t="str">
        <f ca="1">IFERROR(__xludf.DUMMYFUNCTION("""COMPUTED_VALUE"""),"8723, 7130, 8751, 8700, 8752, 8732, 8660, 8783")</f>
        <v>8723, 7130, 8751, 8700, 8752, 8732, 8660, 8783</v>
      </c>
      <c r="W55" s="14">
        <f ca="1">IFERROR(__xludf.DUMMYFUNCTION("""COMPUTED_VALUE"""),20)</f>
        <v>20</v>
      </c>
      <c r="X55" s="14" t="str">
        <f ca="1">IFERROR(__xludf.DUMMYFUNCTION("""COMPUTED_VALUE"""),"8700, 8740, 7130, 8752, 8783, 8751, 8350")</f>
        <v>8700, 8740, 7130, 8752, 8783, 8751, 8350</v>
      </c>
      <c r="Y55" s="14" t="str">
        <f ca="1">IFERROR(__xludf.DUMMYFUNCTION("""COMPUTED_VALUE"""),"ja")</f>
        <v>ja</v>
      </c>
      <c r="Z55" s="14"/>
      <c r="AA55" s="16"/>
      <c r="AB55" s="14" t="str">
        <f ca="1">IFERROR(__xludf.DUMMYFUNCTION("""COMPUTED_VALUE"""),"x")</f>
        <v>x</v>
      </c>
      <c r="AC55" s="14" t="str">
        <f ca="1">IFERROR(__xludf.DUMMYFUNCTION("""COMPUTED_VALUE"""),"x")</f>
        <v>x</v>
      </c>
    </row>
    <row r="56" spans="1:29" ht="12.5" x14ac:dyDescent="0.25">
      <c r="A56" s="14" t="str">
        <f ca="1">IFERROR(__xludf.DUMMYFUNCTION("""COMPUTED_VALUE"""),"Camilla")</f>
        <v>Camilla</v>
      </c>
      <c r="B56" s="14" t="str">
        <f ca="1">IFERROR(__xludf.DUMMYFUNCTION("""COMPUTED_VALUE"""),"RealMæglerne Reinholdt &amp; Andersen ApS")</f>
        <v>RealMæglerne Reinholdt &amp; Andersen ApS</v>
      </c>
      <c r="C56" s="14">
        <f ca="1">IFERROR(__xludf.DUMMYFUNCTION("""COMPUTED_VALUE"""),41542578)</f>
        <v>41542578</v>
      </c>
      <c r="D56" s="14" t="str">
        <f ca="1">IFERROR(__xludf.DUMMYFUNCTION("""COMPUTED_VALUE"""),"MG-JY: 2.499,-")</f>
        <v>MG-JY: 2.499,-</v>
      </c>
      <c r="E56" s="14">
        <f ca="1">IFERROR(__xludf.DUMMYFUNCTION("""COMPUTED_VALUE"""),1201)</f>
        <v>1201</v>
      </c>
      <c r="F56" s="14" t="str">
        <f ca="1">IFERROR(__xludf.DUMMYFUNCTION("""COMPUTED_VALUE"""),"Henning Reinholdt ")</f>
        <v xml:space="preserve">Henning Reinholdt </v>
      </c>
      <c r="G56" s="14" t="str">
        <f ca="1">IFERROR(__xludf.DUMMYFUNCTION("""COMPUTED_VALUE"""),"henning@mailreal.dk")</f>
        <v>henning@mailreal.dk</v>
      </c>
      <c r="H56" s="14" t="str">
        <f ca="1">IFERROR(__xludf.DUMMYFUNCTION("""COMPUTED_VALUE"""),"3052 6007")</f>
        <v>3052 6007</v>
      </c>
      <c r="I56" s="14" t="str">
        <f ca="1">IFERROR(__xludf.DUMMYFUNCTION("""COMPUTED_VALUE"""),"Allegade 1 H")</f>
        <v>Allegade 1 H</v>
      </c>
      <c r="J56" s="14">
        <f ca="1">IFERROR(__xludf.DUMMYFUNCTION("""COMPUTED_VALUE"""),8700)</f>
        <v>8700</v>
      </c>
      <c r="K56" s="14" t="str">
        <f ca="1">IFERROR(__xludf.DUMMYFUNCTION("""COMPUTED_VALUE"""),"Horsens")</f>
        <v>Horsens</v>
      </c>
      <c r="L56" s="14" t="str">
        <f ca="1">IFERROR(__xludf.DUMMYFUNCTION("""COMPUTED_VALUE"""),"Horsens")</f>
        <v>Horsens</v>
      </c>
      <c r="M56" s="14" t="str">
        <f ca="1">IFERROR(__xludf.DUMMYFUNCTION("""COMPUTED_VALUE"""),"Østjylland")</f>
        <v>Østjylland</v>
      </c>
      <c r="N56" s="14" t="str">
        <f ca="1">IFERROR(__xludf.DUMMYFUNCTION("""COMPUTED_VALUE"""),"Midtjylland")</f>
        <v>Midtjylland</v>
      </c>
      <c r="O56" s="14">
        <f ca="1">IFERROR(__xludf.DUMMYFUNCTION("""COMPUTED_VALUE"""),72161700)</f>
        <v>72161700</v>
      </c>
      <c r="P56" s="14" t="str">
        <f ca="1">IFERROR(__xludf.DUMMYFUNCTION("""COMPUTED_VALUE"""),"8700@mailreal.dk")</f>
        <v>8700@mailreal.dk</v>
      </c>
      <c r="Q56" s="15" t="str">
        <f ca="1">IFERROR(__xludf.DUMMYFUNCTION("""COMPUTED_VALUE"""),"https://www.boliga.dk/maegler/18353")</f>
        <v>https://www.boliga.dk/maegler/18353</v>
      </c>
      <c r="R56" s="14" t="str">
        <f ca="1">IFERROR(__xludf.DUMMYFUNCTION("""COMPUTED_VALUE"""),"-")</f>
        <v>-</v>
      </c>
      <c r="S56" s="18" t="str">
        <f ca="1">IFERROR(__xludf.DUMMYFUNCTION("""COMPUTED_VALUE"""),"-")</f>
        <v>-</v>
      </c>
      <c r="T56" s="14" t="str">
        <f ca="1">IFERROR(__xludf.DUMMYFUNCTION("""COMPUTED_VALUE"""),"-")</f>
        <v>-</v>
      </c>
      <c r="U56" s="14">
        <f ca="1">IFERROR(__xludf.DUMMYFUNCTION("""COMPUTED_VALUE"""),9)</f>
        <v>9</v>
      </c>
      <c r="V56" s="14" t="str">
        <f ca="1">IFERROR(__xludf.DUMMYFUNCTION("""COMPUTED_VALUE"""),"8740, 8751, 8700, 7130")</f>
        <v>8740, 8751, 8700, 7130</v>
      </c>
      <c r="W56" s="14">
        <f ca="1">IFERROR(__xludf.DUMMYFUNCTION("""COMPUTED_VALUE"""),8)</f>
        <v>8</v>
      </c>
      <c r="X56" s="14" t="str">
        <f ca="1">IFERROR(__xludf.DUMMYFUNCTION("""COMPUTED_VALUE"""),"8762, 8700, 8783, 7130")</f>
        <v>8762, 8700, 8783, 7130</v>
      </c>
      <c r="Y56" s="14" t="str">
        <f ca="1">IFERROR(__xludf.DUMMYFUNCTION("""COMPUTED_VALUE"""),"ja")</f>
        <v>ja</v>
      </c>
      <c r="Z56" s="14"/>
      <c r="AA56" s="16"/>
      <c r="AB56" s="14" t="str">
        <f ca="1">IFERROR(__xludf.DUMMYFUNCTION("""COMPUTED_VALUE"""),"x")</f>
        <v>x</v>
      </c>
      <c r="AC56" s="14" t="str">
        <f ca="1">IFERROR(__xludf.DUMMYFUNCTION("""COMPUTED_VALUE"""),"x")</f>
        <v>x</v>
      </c>
    </row>
    <row r="57" spans="1:29" ht="12.5" x14ac:dyDescent="0.25">
      <c r="A57" s="14" t="str">
        <f ca="1">IFERROR(__xludf.DUMMYFUNCTION("""COMPUTED_VALUE"""),"Camilla")</f>
        <v>Camilla</v>
      </c>
      <c r="B57" s="14" t="str">
        <f ca="1">IFERROR(__xludf.DUMMYFUNCTION("""COMPUTED_VALUE"""),"RealMæglerne Klaus Larsen")</f>
        <v>RealMæglerne Klaus Larsen</v>
      </c>
      <c r="C57" s="14">
        <f ca="1">IFERROR(__xludf.DUMMYFUNCTION("""COMPUTED_VALUE"""),33013647)</f>
        <v>33013647</v>
      </c>
      <c r="D57" s="14" t="str">
        <f ca="1">IFERROR(__xludf.DUMMYFUNCTION("""COMPUTED_VALUE"""),"MG-JY: 2.499,-")</f>
        <v>MG-JY: 2.499,-</v>
      </c>
      <c r="E57" s="14">
        <f ca="1">IFERROR(__xludf.DUMMYFUNCTION("""COMPUTED_VALUE"""),1201)</f>
        <v>1201</v>
      </c>
      <c r="F57" s="14" t="str">
        <f ca="1">IFERROR(__xludf.DUMMYFUNCTION("""COMPUTED_VALUE"""),"Klaus Larsen ")</f>
        <v xml:space="preserve">Klaus Larsen </v>
      </c>
      <c r="G57" s="14" t="str">
        <f ca="1">IFERROR(__xludf.DUMMYFUNCTION("""COMPUTED_VALUE"""),"kla@mailreal.dk")</f>
        <v>kla@mailreal.dk</v>
      </c>
      <c r="H57" s="14" t="str">
        <f ca="1">IFERROR(__xludf.DUMMYFUNCTION("""COMPUTED_VALUE"""),"2925 4485")</f>
        <v>2925 4485</v>
      </c>
      <c r="I57" s="14" t="str">
        <f ca="1">IFERROR(__xludf.DUMMYFUNCTION("""COMPUTED_VALUE"""),"Haraldsvej 60")</f>
        <v>Haraldsvej 60</v>
      </c>
      <c r="J57" s="14">
        <f ca="1">IFERROR(__xludf.DUMMYFUNCTION("""COMPUTED_VALUE"""),8960)</f>
        <v>8960</v>
      </c>
      <c r="K57" s="14" t="str">
        <f ca="1">IFERROR(__xludf.DUMMYFUNCTION("""COMPUTED_VALUE"""),"Randers SØ")</f>
        <v>Randers SØ</v>
      </c>
      <c r="L57" s="14" t="str">
        <f ca="1">IFERROR(__xludf.DUMMYFUNCTION("""COMPUTED_VALUE"""),"Randers")</f>
        <v>Randers</v>
      </c>
      <c r="M57" s="14" t="str">
        <f ca="1">IFERROR(__xludf.DUMMYFUNCTION("""COMPUTED_VALUE"""),"Østjylland")</f>
        <v>Østjylland</v>
      </c>
      <c r="N57" s="14" t="str">
        <f ca="1">IFERROR(__xludf.DUMMYFUNCTION("""COMPUTED_VALUE"""),"Midtjylland")</f>
        <v>Midtjylland</v>
      </c>
      <c r="O57" s="14">
        <f ca="1">IFERROR(__xludf.DUMMYFUNCTION("""COMPUTED_VALUE"""),86432933)</f>
        <v>86432933</v>
      </c>
      <c r="P57" s="14" t="str">
        <f ca="1">IFERROR(__xludf.DUMMYFUNCTION("""COMPUTED_VALUE"""),"8900@mailreal.dk")</f>
        <v>8900@mailreal.dk</v>
      </c>
      <c r="Q57" s="15" t="str">
        <f ca="1">IFERROR(__xludf.DUMMYFUNCTION("""COMPUTED_VALUE"""),"https://www.boliga.dk/maegler/17455")</f>
        <v>https://www.boliga.dk/maegler/17455</v>
      </c>
      <c r="R57" s="14" t="str">
        <f ca="1">IFERROR(__xludf.DUMMYFUNCTION("""COMPUTED_VALUE"""),"-")</f>
        <v>-</v>
      </c>
      <c r="S57" s="18" t="str">
        <f ca="1">IFERROR(__xludf.DUMMYFUNCTION("""COMPUTED_VALUE"""),"-")</f>
        <v>-</v>
      </c>
      <c r="T57" s="14" t="str">
        <f ca="1">IFERROR(__xludf.DUMMYFUNCTION("""COMPUTED_VALUE"""),"-")</f>
        <v>-</v>
      </c>
      <c r="U57" s="14">
        <f ca="1">IFERROR(__xludf.DUMMYFUNCTION("""COMPUTED_VALUE"""),37)</f>
        <v>37</v>
      </c>
      <c r="V57" s="14" t="str">
        <f ca="1">IFERROR(__xludf.DUMMYFUNCTION("""COMPUTED_VALUE"""),"8900, 8940, 8930, 8860, 8983, 8920, 8960, 8981")</f>
        <v>8900, 8940, 8930, 8860, 8983, 8920, 8960, 8981</v>
      </c>
      <c r="W57" s="14">
        <f ca="1">IFERROR(__xludf.DUMMYFUNCTION("""COMPUTED_VALUE"""),7)</f>
        <v>7</v>
      </c>
      <c r="X57" s="14" t="str">
        <f ca="1">IFERROR(__xludf.DUMMYFUNCTION("""COMPUTED_VALUE"""),"8900, 8370, 8940, 8870, 8960")</f>
        <v>8900, 8370, 8940, 8870, 8960</v>
      </c>
      <c r="Y57" s="14" t="str">
        <f ca="1">IFERROR(__xludf.DUMMYFUNCTION("""COMPUTED_VALUE"""),"ja")</f>
        <v>ja</v>
      </c>
      <c r="Z57" s="14"/>
      <c r="AA57" s="16"/>
      <c r="AB57" s="14" t="str">
        <f ca="1">IFERROR(__xludf.DUMMYFUNCTION("""COMPUTED_VALUE"""),"x")</f>
        <v>x</v>
      </c>
      <c r="AC57" s="14" t="str">
        <f ca="1">IFERROR(__xludf.DUMMYFUNCTION("""COMPUTED_VALUE"""),"x")</f>
        <v>x</v>
      </c>
    </row>
    <row r="58" spans="1:29" ht="12.5" x14ac:dyDescent="0.25">
      <c r="A58" s="14" t="str">
        <f ca="1">IFERROR(__xludf.DUMMYFUNCTION("""COMPUTED_VALUE"""),"Camilla")</f>
        <v>Camilla</v>
      </c>
      <c r="B58" s="14" t="str">
        <f ca="1">IFERROR(__xludf.DUMMYFUNCTION("""COMPUTED_VALUE"""),"RealMæglerne Aalborg v/ Kvistborg &amp; Moesgaard ApS")</f>
        <v>RealMæglerne Aalborg v/ Kvistborg &amp; Moesgaard ApS</v>
      </c>
      <c r="C58" s="14">
        <f ca="1">IFERROR(__xludf.DUMMYFUNCTION("""COMPUTED_VALUE"""),40868372)</f>
        <v>40868372</v>
      </c>
      <c r="D58" s="14" t="str">
        <f ca="1">IFERROR(__xludf.DUMMYFUNCTION("""COMPUTED_VALUE"""),"MG-JY: 2.499,-")</f>
        <v>MG-JY: 2.499,-</v>
      </c>
      <c r="E58" s="14">
        <f ca="1">IFERROR(__xludf.DUMMYFUNCTION("""COMPUTED_VALUE"""),1201)</f>
        <v>1201</v>
      </c>
      <c r="F58" s="14" t="str">
        <f ca="1">IFERROR(__xludf.DUMMYFUNCTION("""COMPUTED_VALUE"""),"Allan Kvistborg")</f>
        <v>Allan Kvistborg</v>
      </c>
      <c r="G58" s="14" t="str">
        <f ca="1">IFERROR(__xludf.DUMMYFUNCTION("""COMPUTED_VALUE"""),"allan@mailreal.dk")</f>
        <v>allan@mailreal.dk</v>
      </c>
      <c r="H58" s="14" t="str">
        <f ca="1">IFERROR(__xludf.DUMMYFUNCTION("""COMPUTED_VALUE"""),"7199 0985")</f>
        <v>7199 0985</v>
      </c>
      <c r="I58" s="14" t="str">
        <f ca="1">IFERROR(__xludf.DUMMYFUNCTION("""COMPUTED_VALUE"""),"Hobrovej 58")</f>
        <v>Hobrovej 58</v>
      </c>
      <c r="J58" s="14">
        <f ca="1">IFERROR(__xludf.DUMMYFUNCTION("""COMPUTED_VALUE"""),9000)</f>
        <v>9000</v>
      </c>
      <c r="K58" s="14" t="str">
        <f ca="1">IFERROR(__xludf.DUMMYFUNCTION("""COMPUTED_VALUE"""),"Aalborg")</f>
        <v>Aalborg</v>
      </c>
      <c r="L58" s="14" t="str">
        <f ca="1">IFERROR(__xludf.DUMMYFUNCTION("""COMPUTED_VALUE"""),"Aalborg")</f>
        <v>Aalborg</v>
      </c>
      <c r="M58" s="14" t="str">
        <f ca="1">IFERROR(__xludf.DUMMYFUNCTION("""COMPUTED_VALUE"""),"Nordjylland")</f>
        <v>Nordjylland</v>
      </c>
      <c r="N58" s="14" t="str">
        <f ca="1">IFERROR(__xludf.DUMMYFUNCTION("""COMPUTED_VALUE"""),"Nordjylland")</f>
        <v>Nordjylland</v>
      </c>
      <c r="O58" s="14" t="str">
        <f ca="1">IFERROR(__xludf.DUMMYFUNCTION("""COMPUTED_VALUE"""),"7199 0980")</f>
        <v>7199 0980</v>
      </c>
      <c r="P58" s="14" t="str">
        <f ca="1">IFERROR(__xludf.DUMMYFUNCTION("""COMPUTED_VALUE"""),"9000@mailreal.dk")</f>
        <v>9000@mailreal.dk</v>
      </c>
      <c r="Q58" s="15" t="str">
        <f ca="1">IFERROR(__xludf.DUMMYFUNCTION("""COMPUTED_VALUE"""),"https://www.boliga.dk/maegler/17960")</f>
        <v>https://www.boliga.dk/maegler/17960</v>
      </c>
      <c r="R58" s="14" t="str">
        <f ca="1">IFERROR(__xludf.DUMMYFUNCTION("""COMPUTED_VALUE"""),"-")</f>
        <v>-</v>
      </c>
      <c r="S58" s="18" t="str">
        <f ca="1">IFERROR(__xludf.DUMMYFUNCTION("""COMPUTED_VALUE"""),"-")</f>
        <v>-</v>
      </c>
      <c r="T58" s="18" t="str">
        <f ca="1">IFERROR(__xludf.DUMMYFUNCTION("""COMPUTED_VALUE"""),"-")</f>
        <v>-</v>
      </c>
      <c r="U58" s="14">
        <f ca="1">IFERROR(__xludf.DUMMYFUNCTION("""COMPUTED_VALUE"""),13)</f>
        <v>13</v>
      </c>
      <c r="V58" s="14" t="str">
        <f ca="1">IFERROR(__xludf.DUMMYFUNCTION("""COMPUTED_VALUE"""),"9400, 9480, 9380, 9000, 9700, 9200, 9220, 9382, 9381")</f>
        <v>9400, 9480, 9380, 9000, 9700, 9200, 9220, 9382, 9381</v>
      </c>
      <c r="W58" s="14">
        <f ca="1">IFERROR(__xludf.DUMMYFUNCTION("""COMPUTED_VALUE"""),6)</f>
        <v>6</v>
      </c>
      <c r="X58" s="14" t="str">
        <f ca="1">IFERROR(__xludf.DUMMYFUNCTION("""COMPUTED_VALUE"""),"9310, 9200, 9492, 9000, 9382")</f>
        <v>9310, 9200, 9492, 9000, 9382</v>
      </c>
      <c r="Y58" s="14" t="str">
        <f ca="1">IFERROR(__xludf.DUMMYFUNCTION("""COMPUTED_VALUE"""),"ja")</f>
        <v>ja</v>
      </c>
      <c r="Z58" s="14"/>
      <c r="AA58" s="16"/>
      <c r="AB58" s="14" t="str">
        <f ca="1">IFERROR(__xludf.DUMMYFUNCTION("""COMPUTED_VALUE"""),"x")</f>
        <v>x</v>
      </c>
      <c r="AC58" s="14" t="str">
        <f ca="1">IFERROR(__xludf.DUMMYFUNCTION("""COMPUTED_VALUE"""),"x")</f>
        <v>x</v>
      </c>
    </row>
    <row r="59" spans="1:29" ht="12.5" x14ac:dyDescent="0.25">
      <c r="A59" s="14" t="str">
        <f ca="1">IFERROR(__xludf.DUMMYFUNCTION("""COMPUTED_VALUE"""),"Camilla")</f>
        <v>Camilla</v>
      </c>
      <c r="B59" s="14" t="str">
        <f ca="1">IFERROR(__xludf.DUMMYFUNCTION("""COMPUTED_VALUE"""),"RealMæglerne Hals ")</f>
        <v xml:space="preserve">RealMæglerne Hals </v>
      </c>
      <c r="C59" s="14">
        <f ca="1">IFERROR(__xludf.DUMMYFUNCTION("""COMPUTED_VALUE"""),43179489)</f>
        <v>43179489</v>
      </c>
      <c r="D59" s="14" t="str">
        <f ca="1">IFERROR(__xludf.DUMMYFUNCTION("""COMPUTED_VALUE"""),"MG-JY: 2.499,-")</f>
        <v>MG-JY: 2.499,-</v>
      </c>
      <c r="E59" s="14">
        <f ca="1">IFERROR(__xludf.DUMMYFUNCTION("""COMPUTED_VALUE"""),1201)</f>
        <v>1201</v>
      </c>
      <c r="F59" s="14" t="str">
        <f ca="1">IFERROR(__xludf.DUMMYFUNCTION("""COMPUTED_VALUE"""),"Mikkel Sørensen")</f>
        <v>Mikkel Sørensen</v>
      </c>
      <c r="G59" s="14" t="str">
        <f ca="1">IFERROR(__xludf.DUMMYFUNCTION("""COMPUTED_VALUE"""),"miks@mailreal.dk")</f>
        <v>miks@mailreal.dk</v>
      </c>
      <c r="H59" s="14" t="str">
        <f ca="1">IFERROR(__xludf.DUMMYFUNCTION("""COMPUTED_VALUE"""),"5217 3952")</f>
        <v>5217 3952</v>
      </c>
      <c r="I59" s="14" t="str">
        <f ca="1">IFERROR(__xludf.DUMMYFUNCTION("""COMPUTED_VALUE"""),"Aalborgvej 19")</f>
        <v>Aalborgvej 19</v>
      </c>
      <c r="J59" s="14">
        <f ca="1">IFERROR(__xludf.DUMMYFUNCTION("""COMPUTED_VALUE"""),9370)</f>
        <v>9370</v>
      </c>
      <c r="K59" s="14" t="str">
        <f ca="1">IFERROR(__xludf.DUMMYFUNCTION("""COMPUTED_VALUE"""),"Hals")</f>
        <v>Hals</v>
      </c>
      <c r="L59" s="14" t="str">
        <f ca="1">IFERROR(__xludf.DUMMYFUNCTION("""COMPUTED_VALUE"""),"Aalborg")</f>
        <v>Aalborg</v>
      </c>
      <c r="M59" s="14" t="str">
        <f ca="1">IFERROR(__xludf.DUMMYFUNCTION("""COMPUTED_VALUE"""),"Nordjylland")</f>
        <v>Nordjylland</v>
      </c>
      <c r="N59" s="14" t="str">
        <f ca="1">IFERROR(__xludf.DUMMYFUNCTION("""COMPUTED_VALUE"""),"Nordjylland")</f>
        <v>Nordjylland</v>
      </c>
      <c r="O59" s="14">
        <f ca="1">IFERROR(__xludf.DUMMYFUNCTION("""COMPUTED_VALUE"""),98750300)</f>
        <v>98750300</v>
      </c>
      <c r="P59" s="14" t="str">
        <f ca="1">IFERROR(__xludf.DUMMYFUNCTION("""COMPUTED_VALUE"""),"9370@mailreal.dk")</f>
        <v>9370@mailreal.dk</v>
      </c>
      <c r="Q59" s="15" t="str">
        <f ca="1">IFERROR(__xludf.DUMMYFUNCTION("""COMPUTED_VALUE"""),"https://www.boliga.dk/maegler/29135")</f>
        <v>https://www.boliga.dk/maegler/29135</v>
      </c>
      <c r="R59" s="14" t="str">
        <f ca="1">IFERROR(__xludf.DUMMYFUNCTION("""COMPUTED_VALUE"""),"-")</f>
        <v>-</v>
      </c>
      <c r="S59" s="18" t="str">
        <f ca="1">IFERROR(__xludf.DUMMYFUNCTION("""COMPUTED_VALUE"""),"-")</f>
        <v>-</v>
      </c>
      <c r="T59" s="18" t="str">
        <f ca="1">IFERROR(__xludf.DUMMYFUNCTION("""COMPUTED_VALUE"""),"-")</f>
        <v>-</v>
      </c>
      <c r="U59" s="14">
        <f ca="1">IFERROR(__xludf.DUMMYFUNCTION("""COMPUTED_VALUE"""),11)</f>
        <v>11</v>
      </c>
      <c r="V59" s="14" t="str">
        <f ca="1">IFERROR(__xludf.DUMMYFUNCTION("""COMPUTED_VALUE"""),"9370, 9340")</f>
        <v>9370, 9340</v>
      </c>
      <c r="W59" s="14">
        <f ca="1">IFERROR(__xludf.DUMMYFUNCTION("""COMPUTED_VALUE"""),9)</f>
        <v>9</v>
      </c>
      <c r="X59" s="14">
        <f ca="1">IFERROR(__xludf.DUMMYFUNCTION("""COMPUTED_VALUE"""),9370)</f>
        <v>9370</v>
      </c>
      <c r="Y59" s="14" t="str">
        <f ca="1">IFERROR(__xludf.DUMMYFUNCTION("""COMPUTED_VALUE"""),"ja")</f>
        <v>ja</v>
      </c>
      <c r="Z59" s="14"/>
      <c r="AA59" s="16"/>
      <c r="AB59" s="14" t="str">
        <f ca="1">IFERROR(__xludf.DUMMYFUNCTION("""COMPUTED_VALUE"""),"x")</f>
        <v>x</v>
      </c>
      <c r="AC59" s="14" t="str">
        <f ca="1">IFERROR(__xludf.DUMMYFUNCTION("""COMPUTED_VALUE"""),"x")</f>
        <v>x</v>
      </c>
    </row>
    <row r="60" spans="1:29" ht="12.5" x14ac:dyDescent="0.25">
      <c r="A60" s="14" t="str">
        <f ca="1">IFERROR(__xludf.DUMMYFUNCTION("""COMPUTED_VALUE"""),"Camilla")</f>
        <v>Camilla</v>
      </c>
      <c r="B60" s="14" t="str">
        <f ca="1">IFERROR(__xludf.DUMMYFUNCTION("""COMPUTED_VALUE"""),"RealMæglerne Løkken A/S")</f>
        <v>RealMæglerne Løkken A/S</v>
      </c>
      <c r="C60" s="14">
        <f ca="1">IFERROR(__xludf.DUMMYFUNCTION("""COMPUTED_VALUE"""),37462772)</f>
        <v>37462772</v>
      </c>
      <c r="D60" s="14" t="str">
        <f ca="1">IFERROR(__xludf.DUMMYFUNCTION("""COMPUTED_VALUE"""),"MG-JY: 2.499,-")</f>
        <v>MG-JY: 2.499,-</v>
      </c>
      <c r="E60" s="14">
        <f ca="1">IFERROR(__xludf.DUMMYFUNCTION("""COMPUTED_VALUE"""),1201)</f>
        <v>1201</v>
      </c>
      <c r="F60" s="14" t="str">
        <f ca="1">IFERROR(__xludf.DUMMYFUNCTION("""COMPUTED_VALUE"""),"Kasper Poulsen")</f>
        <v>Kasper Poulsen</v>
      </c>
      <c r="G60" s="14" t="str">
        <f ca="1">IFERROR(__xludf.DUMMYFUNCTION("""COMPUTED_VALUE"""),"kpo@mailreal.dk")</f>
        <v>kpo@mailreal.dk</v>
      </c>
      <c r="H60" s="14" t="str">
        <f ca="1">IFERROR(__xludf.DUMMYFUNCTION("""COMPUTED_VALUE"""),"2877 4243")</f>
        <v>2877 4243</v>
      </c>
      <c r="I60" s="14" t="str">
        <f ca="1">IFERROR(__xludf.DUMMYFUNCTION("""COMPUTED_VALUE"""),"Søndergade 15B")</f>
        <v>Søndergade 15B</v>
      </c>
      <c r="J60" s="14">
        <f ca="1">IFERROR(__xludf.DUMMYFUNCTION("""COMPUTED_VALUE"""),9480)</f>
        <v>9480</v>
      </c>
      <c r="K60" s="14" t="str">
        <f ca="1">IFERROR(__xludf.DUMMYFUNCTION("""COMPUTED_VALUE"""),"Løkken")</f>
        <v>Løkken</v>
      </c>
      <c r="L60" s="14" t="str">
        <f ca="1">IFERROR(__xludf.DUMMYFUNCTION("""COMPUTED_VALUE"""),"Hjørring")</f>
        <v>Hjørring</v>
      </c>
      <c r="M60" s="14" t="str">
        <f ca="1">IFERROR(__xludf.DUMMYFUNCTION("""COMPUTED_VALUE"""),"Nordjylland")</f>
        <v>Nordjylland</v>
      </c>
      <c r="N60" s="14" t="str">
        <f ca="1">IFERROR(__xludf.DUMMYFUNCTION("""COMPUTED_VALUE"""),"Nordjylland")</f>
        <v>Nordjylland</v>
      </c>
      <c r="O60" s="14">
        <f ca="1">IFERROR(__xludf.DUMMYFUNCTION("""COMPUTED_VALUE"""),72119114)</f>
        <v>72119114</v>
      </c>
      <c r="P60" s="14" t="str">
        <f ca="1">IFERROR(__xludf.DUMMYFUNCTION("""COMPUTED_VALUE"""),"9480@mailreal.dk")</f>
        <v>9480@mailreal.dk</v>
      </c>
      <c r="Q60" s="15" t="str">
        <f ca="1">IFERROR(__xludf.DUMMYFUNCTION("""COMPUTED_VALUE"""),"https://www.boliga.dk/maegler/24893")</f>
        <v>https://www.boliga.dk/maegler/24893</v>
      </c>
      <c r="R60" s="14" t="str">
        <f ca="1">IFERROR(__xludf.DUMMYFUNCTION("""COMPUTED_VALUE"""),"-")</f>
        <v>-</v>
      </c>
      <c r="S60" s="18" t="str">
        <f ca="1">IFERROR(__xludf.DUMMYFUNCTION("""COMPUTED_VALUE"""),"-")</f>
        <v>-</v>
      </c>
      <c r="T60" s="18" t="str">
        <f ca="1">IFERROR(__xludf.DUMMYFUNCTION("""COMPUTED_VALUE"""),"-")</f>
        <v>-</v>
      </c>
      <c r="U60" s="14">
        <f ca="1">IFERROR(__xludf.DUMMYFUNCTION("""COMPUTED_VALUE"""),26)</f>
        <v>26</v>
      </c>
      <c r="V60" s="14" t="str">
        <f ca="1">IFERROR(__xludf.DUMMYFUNCTION("""COMPUTED_VALUE"""),"9480, 9881, 9800")</f>
        <v>9480, 9881, 9800</v>
      </c>
      <c r="W60" s="14">
        <f ca="1">IFERROR(__xludf.DUMMYFUNCTION("""COMPUTED_VALUE"""),28)</f>
        <v>28</v>
      </c>
      <c r="X60" s="14" t="str">
        <f ca="1">IFERROR(__xludf.DUMMYFUNCTION("""COMPUTED_VALUE"""),"9480, 9850")</f>
        <v>9480, 9850</v>
      </c>
      <c r="Y60" s="14" t="str">
        <f ca="1">IFERROR(__xludf.DUMMYFUNCTION("""COMPUTED_VALUE"""),"ja")</f>
        <v>ja</v>
      </c>
      <c r="Z60" s="14"/>
      <c r="AA60" s="16"/>
      <c r="AB60" s="14" t="str">
        <f ca="1">IFERROR(__xludf.DUMMYFUNCTION("""COMPUTED_VALUE"""),"x")</f>
        <v>x</v>
      </c>
      <c r="AC60" s="14" t="str">
        <f ca="1">IFERROR(__xludf.DUMMYFUNCTION("""COMPUTED_VALUE"""),"x")</f>
        <v>x</v>
      </c>
    </row>
    <row r="61" spans="1:29" ht="12.5" x14ac:dyDescent="0.25">
      <c r="A61" s="14" t="str">
        <f ca="1">IFERROR(__xludf.DUMMYFUNCTION("""COMPUTED_VALUE"""),"Camilla")</f>
        <v>Camilla</v>
      </c>
      <c r="B61" s="14" t="str">
        <f ca="1">IFERROR(__xludf.DUMMYFUNCTION("""COMPUTED_VALUE"""),"RealMæglerne Blokhus A/S")</f>
        <v>RealMæglerne Blokhus A/S</v>
      </c>
      <c r="C61" s="14">
        <f ca="1">IFERROR(__xludf.DUMMYFUNCTION("""COMPUTED_VALUE"""),37462772)</f>
        <v>37462772</v>
      </c>
      <c r="D61" s="14" t="str">
        <f ca="1">IFERROR(__xludf.DUMMYFUNCTION("""COMPUTED_VALUE"""),"MG-JY: 2.499,-")</f>
        <v>MG-JY: 2.499,-</v>
      </c>
      <c r="E61" s="14">
        <f ca="1">IFERROR(__xludf.DUMMYFUNCTION("""COMPUTED_VALUE"""),1201)</f>
        <v>1201</v>
      </c>
      <c r="F61" s="14" t="str">
        <f ca="1">IFERROR(__xludf.DUMMYFUNCTION("""COMPUTED_VALUE"""),"Kasper Poulsen")</f>
        <v>Kasper Poulsen</v>
      </c>
      <c r="G61" s="14" t="str">
        <f ca="1">IFERROR(__xludf.DUMMYFUNCTION("""COMPUTED_VALUE"""),"kpo@mailreal.dk")</f>
        <v>kpo@mailreal.dk</v>
      </c>
      <c r="H61" s="14" t="str">
        <f ca="1">IFERROR(__xludf.DUMMYFUNCTION("""COMPUTED_VALUE"""),"2877 4243")</f>
        <v>2877 4243</v>
      </c>
      <c r="I61" s="14" t="str">
        <f ca="1">IFERROR(__xludf.DUMMYFUNCTION("""COMPUTED_VALUE"""),"Pirupvejen 1 B")</f>
        <v>Pirupvejen 1 B</v>
      </c>
      <c r="J61" s="14">
        <f ca="1">IFERROR(__xludf.DUMMYFUNCTION("""COMPUTED_VALUE"""),9492)</f>
        <v>9492</v>
      </c>
      <c r="K61" s="14" t="str">
        <f ca="1">IFERROR(__xludf.DUMMYFUNCTION("""COMPUTED_VALUE"""),"Blokhus")</f>
        <v>Blokhus</v>
      </c>
      <c r="L61" s="14" t="str">
        <f ca="1">IFERROR(__xludf.DUMMYFUNCTION("""COMPUTED_VALUE"""),"Jammerbugt")</f>
        <v>Jammerbugt</v>
      </c>
      <c r="M61" s="14" t="str">
        <f ca="1">IFERROR(__xludf.DUMMYFUNCTION("""COMPUTED_VALUE"""),"Nordjylland")</f>
        <v>Nordjylland</v>
      </c>
      <c r="N61" s="14" t="str">
        <f ca="1">IFERROR(__xludf.DUMMYFUNCTION("""COMPUTED_VALUE"""),"Nordjylland")</f>
        <v>Nordjylland</v>
      </c>
      <c r="O61" s="14">
        <f ca="1">IFERROR(__xludf.DUMMYFUNCTION("""COMPUTED_VALUE"""),72119114)</f>
        <v>72119114</v>
      </c>
      <c r="P61" s="14" t="str">
        <f ca="1">IFERROR(__xludf.DUMMYFUNCTION("""COMPUTED_VALUE"""),"9492@mailreal.dk")</f>
        <v>9492@mailreal.dk</v>
      </c>
      <c r="Q61" s="15" t="str">
        <f ca="1">IFERROR(__xludf.DUMMYFUNCTION("""COMPUTED_VALUE"""),"https://www.boliga.dk/maegler/26924")</f>
        <v>https://www.boliga.dk/maegler/26924</v>
      </c>
      <c r="R61" s="14" t="str">
        <f ca="1">IFERROR(__xludf.DUMMYFUNCTION("""COMPUTED_VALUE"""),"-")</f>
        <v>-</v>
      </c>
      <c r="S61" s="18" t="str">
        <f ca="1">IFERROR(__xludf.DUMMYFUNCTION("""COMPUTED_VALUE"""),"-")</f>
        <v>-</v>
      </c>
      <c r="T61" s="14" t="str">
        <f ca="1">IFERROR(__xludf.DUMMYFUNCTION("""COMPUTED_VALUE"""),"-")</f>
        <v>-</v>
      </c>
      <c r="U61" s="14">
        <f ca="1">IFERROR(__xludf.DUMMYFUNCTION("""COMPUTED_VALUE"""),8)</f>
        <v>8</v>
      </c>
      <c r="V61" s="14" t="str">
        <f ca="1">IFERROR(__xludf.DUMMYFUNCTION("""COMPUTED_VALUE"""),"9493, 9492")</f>
        <v>9493, 9492</v>
      </c>
      <c r="W61" s="14">
        <f ca="1">IFERROR(__xludf.DUMMYFUNCTION("""COMPUTED_VALUE"""),7)</f>
        <v>7</v>
      </c>
      <c r="X61" s="14" t="str">
        <f ca="1">IFERROR(__xludf.DUMMYFUNCTION("""COMPUTED_VALUE"""),"9493, 9492, 9381, 9490, 9700")</f>
        <v>9493, 9492, 9381, 9490, 9700</v>
      </c>
      <c r="Y61" s="14" t="str">
        <f ca="1">IFERROR(__xludf.DUMMYFUNCTION("""COMPUTED_VALUE"""),"ja")</f>
        <v>ja</v>
      </c>
      <c r="Z61" s="14"/>
      <c r="AA61" s="16"/>
      <c r="AB61" s="14" t="str">
        <f ca="1">IFERROR(__xludf.DUMMYFUNCTION("""COMPUTED_VALUE"""),"x")</f>
        <v>x</v>
      </c>
      <c r="AC61" s="14" t="str">
        <f ca="1">IFERROR(__xludf.DUMMYFUNCTION("""COMPUTED_VALUE"""),"x")</f>
        <v>x</v>
      </c>
    </row>
    <row r="62" spans="1:29" ht="12.5" x14ac:dyDescent="0.25">
      <c r="A62" s="14" t="str">
        <f ca="1">IFERROR(__xludf.DUMMYFUNCTION("""COMPUTED_VALUE"""),"Camilla")</f>
        <v>Camilla</v>
      </c>
      <c r="B62" s="14" t="str">
        <f ca="1">IFERROR(__xludf.DUMMYFUNCTION("""COMPUTED_VALUE"""),"RealMæglerne Hjørring ApS")</f>
        <v>RealMæglerne Hjørring ApS</v>
      </c>
      <c r="C62" s="14">
        <f ca="1">IFERROR(__xludf.DUMMYFUNCTION("""COMPUTED_VALUE"""),39307294)</f>
        <v>39307294</v>
      </c>
      <c r="D62" s="14" t="str">
        <f ca="1">IFERROR(__xludf.DUMMYFUNCTION("""COMPUTED_VALUE"""),"MG-JY: 2.499,-")</f>
        <v>MG-JY: 2.499,-</v>
      </c>
      <c r="E62" s="14">
        <f ca="1">IFERROR(__xludf.DUMMYFUNCTION("""COMPUTED_VALUE"""),1201)</f>
        <v>1201</v>
      </c>
      <c r="F62" s="14" t="str">
        <f ca="1">IFERROR(__xludf.DUMMYFUNCTION("""COMPUTED_VALUE"""),"David Bergmos")</f>
        <v>David Bergmos</v>
      </c>
      <c r="G62" s="14" t="str">
        <f ca="1">IFERROR(__xludf.DUMMYFUNCTION("""COMPUTED_VALUE"""),"dbe@mailreal.dk")</f>
        <v>dbe@mailreal.dk</v>
      </c>
      <c r="H62" s="14" t="str">
        <f ca="1">IFERROR(__xludf.DUMMYFUNCTION("""COMPUTED_VALUE"""),"2227 9143")</f>
        <v>2227 9143</v>
      </c>
      <c r="I62" s="14" t="str">
        <f ca="1">IFERROR(__xludf.DUMMYFUNCTION("""COMPUTED_VALUE"""),"Søndergade 3")</f>
        <v>Søndergade 3</v>
      </c>
      <c r="J62" s="14">
        <f ca="1">IFERROR(__xludf.DUMMYFUNCTION("""COMPUTED_VALUE"""),9800)</f>
        <v>9800</v>
      </c>
      <c r="K62" s="14" t="str">
        <f ca="1">IFERROR(__xludf.DUMMYFUNCTION("""COMPUTED_VALUE"""),"Hjørring")</f>
        <v>Hjørring</v>
      </c>
      <c r="L62" s="14" t="str">
        <f ca="1">IFERROR(__xludf.DUMMYFUNCTION("""COMPUTED_VALUE"""),"Hjørring")</f>
        <v>Hjørring</v>
      </c>
      <c r="M62" s="14" t="str">
        <f ca="1">IFERROR(__xludf.DUMMYFUNCTION("""COMPUTED_VALUE"""),"Nordjylland")</f>
        <v>Nordjylland</v>
      </c>
      <c r="N62" s="14" t="str">
        <f ca="1">IFERROR(__xludf.DUMMYFUNCTION("""COMPUTED_VALUE"""),"Nordjylland")</f>
        <v>Nordjylland</v>
      </c>
      <c r="O62" s="14">
        <f ca="1">IFERROR(__xludf.DUMMYFUNCTION("""COMPUTED_VALUE"""),72119114)</f>
        <v>72119114</v>
      </c>
      <c r="P62" s="14" t="str">
        <f ca="1">IFERROR(__xludf.DUMMYFUNCTION("""COMPUTED_VALUE"""),"9800@mailreal.dk")</f>
        <v>9800@mailreal.dk</v>
      </c>
      <c r="Q62" s="15" t="str">
        <f ca="1">IFERROR(__xludf.DUMMYFUNCTION("""COMPUTED_VALUE"""),"https://www.boliga.dk/maegler/24574")</f>
        <v>https://www.boliga.dk/maegler/24574</v>
      </c>
      <c r="R62" s="14" t="str">
        <f ca="1">IFERROR(__xludf.DUMMYFUNCTION("""COMPUTED_VALUE"""),"-")</f>
        <v>-</v>
      </c>
      <c r="S62" s="18" t="str">
        <f ca="1">IFERROR(__xludf.DUMMYFUNCTION("""COMPUTED_VALUE"""),"-")</f>
        <v>-</v>
      </c>
      <c r="T62" s="18" t="str">
        <f ca="1">IFERROR(__xludf.DUMMYFUNCTION("""COMPUTED_VALUE"""),"-")</f>
        <v>-</v>
      </c>
      <c r="U62" s="14">
        <f ca="1">IFERROR(__xludf.DUMMYFUNCTION("""COMPUTED_VALUE"""),45)</f>
        <v>45</v>
      </c>
      <c r="V62" s="14" t="str">
        <f ca="1">IFERROR(__xludf.DUMMYFUNCTION("""COMPUTED_VALUE"""),"9700, 9870, 9850, 9760, 9881, 9800")</f>
        <v>9700, 9870, 9850, 9760, 9881, 9800</v>
      </c>
      <c r="W62" s="14">
        <f ca="1">IFERROR(__xludf.DUMMYFUNCTION("""COMPUTED_VALUE"""),18)</f>
        <v>18</v>
      </c>
      <c r="X62" s="14" t="str">
        <f ca="1">IFERROR(__xludf.DUMMYFUNCTION("""COMPUTED_VALUE"""),"9830, 9870, 9480, 9760, 9850, 9881, 9800")</f>
        <v>9830, 9870, 9480, 9760, 9850, 9881, 9800</v>
      </c>
      <c r="Y62" s="14" t="str">
        <f ca="1">IFERROR(__xludf.DUMMYFUNCTION("""COMPUTED_VALUE"""),"ja")</f>
        <v>ja</v>
      </c>
      <c r="Z62" s="14"/>
      <c r="AA62" s="16"/>
      <c r="AB62" s="14" t="str">
        <f ca="1">IFERROR(__xludf.DUMMYFUNCTION("""COMPUTED_VALUE"""),"x")</f>
        <v>x</v>
      </c>
      <c r="AC62" s="14" t="str">
        <f ca="1">IFERROR(__xludf.DUMMYFUNCTION("""COMPUTED_VALUE"""),"x")</f>
        <v>x</v>
      </c>
    </row>
    <row r="63" spans="1:29" ht="12.5" x14ac:dyDescent="0.25">
      <c r="A63" s="14" t="str">
        <f ca="1">IFERROR(__xludf.DUMMYFUNCTION("""COMPUTED_VALUE"""),"Camilla")</f>
        <v>Camilla</v>
      </c>
      <c r="B63" s="14" t="str">
        <f ca="1">IFERROR(__xludf.DUMMYFUNCTION("""COMPUTED_VALUE"""),"Klein &amp; Adamsen ")</f>
        <v xml:space="preserve">Klein &amp; Adamsen </v>
      </c>
      <c r="C63" s="14">
        <f ca="1">IFERROR(__xludf.DUMMYFUNCTION("""COMPUTED_VALUE"""),42887706)</f>
        <v>42887706</v>
      </c>
      <c r="D63" s="14" t="str">
        <f ca="1">IFERROR(__xludf.DUMMYFUNCTION("""COMPUTED_VALUE"""),"MG-SJ: 3.499,-")</f>
        <v>MG-SJ: 3.499,-</v>
      </c>
      <c r="E63" s="14">
        <f ca="1">IFERROR(__xludf.DUMMYFUNCTION("""COMPUTED_VALUE"""),1202)</f>
        <v>1202</v>
      </c>
      <c r="F63" s="14" t="str">
        <f ca="1">IFERROR(__xludf.DUMMYFUNCTION("""COMPUTED_VALUE"""),"Anders Klein")</f>
        <v>Anders Klein</v>
      </c>
      <c r="G63" s="14" t="str">
        <f ca="1">IFERROR(__xludf.DUMMYFUNCTION("""COMPUTED_VALUE"""),"post@kleinadamsen.dk")</f>
        <v>post@kleinadamsen.dk</v>
      </c>
      <c r="H63" s="14">
        <f ca="1">IFERROR(__xludf.DUMMYFUNCTION("""COMPUTED_VALUE"""),50570929)</f>
        <v>50570929</v>
      </c>
      <c r="I63" s="14" t="str">
        <f ca="1">IFERROR(__xludf.DUMMYFUNCTION("""COMPUTED_VALUE"""),"Hovedgaden 24")</f>
        <v>Hovedgaden 24</v>
      </c>
      <c r="J63" s="14">
        <f ca="1">IFERROR(__xludf.DUMMYFUNCTION("""COMPUTED_VALUE"""),4622)</f>
        <v>4622</v>
      </c>
      <c r="K63" s="14" t="str">
        <f ca="1">IFERROR(__xludf.DUMMYFUNCTION("""COMPUTED_VALUE"""),"Havdrup")</f>
        <v>Havdrup</v>
      </c>
      <c r="L63" s="14"/>
      <c r="M63" s="14" t="str">
        <f ca="1">IFERROR(__xludf.DUMMYFUNCTION("""COMPUTED_VALUE"""),"Storkøbenhavn")</f>
        <v>Storkøbenhavn</v>
      </c>
      <c r="N63" s="14"/>
      <c r="O63" s="14"/>
      <c r="P63" s="14"/>
      <c r="Q63" s="15" t="str">
        <f ca="1">IFERROR(__xludf.DUMMYFUNCTION("""COMPUTED_VALUE"""),"https://www.boliga.dk/maegler/29045")</f>
        <v>https://www.boliga.dk/maegler/29045</v>
      </c>
      <c r="R63" s="14"/>
      <c r="S63" s="18"/>
      <c r="T63" s="18"/>
      <c r="U63" s="14"/>
      <c r="V63" s="14"/>
      <c r="W63" s="14"/>
      <c r="X63" s="14"/>
      <c r="Y63" s="14" t="str">
        <f ca="1">IFERROR(__xludf.DUMMYFUNCTION("""COMPUTED_VALUE"""),"ja")</f>
        <v>ja</v>
      </c>
      <c r="Z63" s="14"/>
      <c r="AA63" s="16"/>
      <c r="AB63" s="14" t="str">
        <f ca="1">IFERROR(__xludf.DUMMYFUNCTION("""COMPUTED_VALUE"""),"x")</f>
        <v>x</v>
      </c>
      <c r="AC63" s="14" t="str">
        <f ca="1">IFERROR(__xludf.DUMMYFUNCTION("""COMPUTED_VALUE"""),"x")</f>
        <v>x</v>
      </c>
    </row>
  </sheetData>
  <hyperlinks>
    <hyperlink ref="Q2" r:id="rId1" display="https://www.boliga.dk/maegler/27100" xr:uid="{00000000-0004-0000-0900-000000000000}"/>
    <hyperlink ref="Q3" r:id="rId2" display="https://www.boliga.dk/maegler/476" xr:uid="{00000000-0004-0000-0900-000001000000}"/>
    <hyperlink ref="Q4" r:id="rId3" display="https://www.boliga.dk/maegler/54" xr:uid="{00000000-0004-0000-0900-000002000000}"/>
    <hyperlink ref="Q5" r:id="rId4" display="https://www.boliga.dk/maegler/535" xr:uid="{00000000-0004-0000-0900-000003000000}"/>
    <hyperlink ref="Q6" r:id="rId5" display="https://www.boliga.dk/maegler/17454" xr:uid="{00000000-0004-0000-0900-000004000000}"/>
    <hyperlink ref="Q7" r:id="rId6" display="https://www.boliga.dk/maegler/22933" xr:uid="{00000000-0004-0000-0900-000005000000}"/>
    <hyperlink ref="Q8" r:id="rId7" display="https://www.boliga.dk/maegler/18628" xr:uid="{00000000-0004-0000-0900-000006000000}"/>
    <hyperlink ref="Q9" r:id="rId8" display="https://www.boliga.dk/maegler/29022" xr:uid="{00000000-0004-0000-0900-000007000000}"/>
    <hyperlink ref="Q10" r:id="rId9" display="https://www.boliga.dk/maegler/619" xr:uid="{00000000-0004-0000-0900-000008000000}"/>
    <hyperlink ref="Q11" r:id="rId10" display="https://www.boliga.dk/maegler/24047" xr:uid="{00000000-0004-0000-0900-000009000000}"/>
    <hyperlink ref="Q12" r:id="rId11" display="https://www.boliga.dk/maegler/18434" xr:uid="{00000000-0004-0000-0900-00000A000000}"/>
    <hyperlink ref="Q13" r:id="rId12" display="https://www.boliga.dk/maegler/17695" xr:uid="{00000000-0004-0000-0900-00000B000000}"/>
    <hyperlink ref="Q14" r:id="rId13" display="https://www.boliga.dk/maegler/460" xr:uid="{00000000-0004-0000-0900-00000C000000}"/>
    <hyperlink ref="Q15" r:id="rId14" display="https://www.boliga.dk/maegler/18708" xr:uid="{00000000-0004-0000-0900-00000D000000}"/>
    <hyperlink ref="Q16" r:id="rId15" display="https://www.boliga.dk/maegler/17674" xr:uid="{00000000-0004-0000-0900-00000E000000}"/>
    <hyperlink ref="Q17" r:id="rId16" display="https://www.boliga.dk/maegler/18220" xr:uid="{00000000-0004-0000-0900-00000F000000}"/>
    <hyperlink ref="Q18" r:id="rId17" display="https://www.boliga.dk/maegler/26913" xr:uid="{00000000-0004-0000-0900-000010000000}"/>
    <hyperlink ref="Q19" r:id="rId18" display="https://www.boliga.dk/maegler/762" xr:uid="{00000000-0004-0000-0900-000011000000}"/>
    <hyperlink ref="Q20" r:id="rId19" display="https://www.boliga.dk/maegler/26919" xr:uid="{00000000-0004-0000-0900-000012000000}"/>
    <hyperlink ref="Q21" r:id="rId20" display="https://www.boliga.dk/maegler/859" xr:uid="{00000000-0004-0000-0900-000013000000}"/>
    <hyperlink ref="Q22" r:id="rId21" display="https://www.boliga.dk/maegler/25081" xr:uid="{00000000-0004-0000-0900-000014000000}"/>
    <hyperlink ref="Q23" r:id="rId22" display="https://www.boliga.dk/maegler/165" xr:uid="{00000000-0004-0000-0900-000015000000}"/>
    <hyperlink ref="Q24" r:id="rId23" display="https://www.boliga.dk/maegler/1027" xr:uid="{00000000-0004-0000-0900-000016000000}"/>
    <hyperlink ref="Q25" r:id="rId24" display="https://www.boliga.dk/maegler/24573" xr:uid="{00000000-0004-0000-0900-000017000000}"/>
    <hyperlink ref="Q26" r:id="rId25" display="https://www.boliga.dk/maegler/27178" xr:uid="{00000000-0004-0000-0900-000018000000}"/>
    <hyperlink ref="Q27" r:id="rId26" display="https://www.boliga.dk/maegler/25716" xr:uid="{00000000-0004-0000-0900-000019000000}"/>
    <hyperlink ref="Q28" r:id="rId27" display="https://www.boliga.dk/maegler/18001" xr:uid="{00000000-0004-0000-0900-00001A000000}"/>
    <hyperlink ref="Q29" r:id="rId28" display="https://www.boliga.dk/maegler/27451" xr:uid="{00000000-0004-0000-0900-00001B000000}"/>
    <hyperlink ref="G30" r:id="rId29" display="mailto:gurli@mailreal.dk" xr:uid="{00000000-0004-0000-0900-00001C000000}"/>
    <hyperlink ref="Q30" r:id="rId30" display="https://www.boliga.dk/maegler/18402" xr:uid="{00000000-0004-0000-0900-00001D000000}"/>
    <hyperlink ref="G31" r:id="rId31" display="mailto:anette@mailreal.dk" xr:uid="{00000000-0004-0000-0900-00001E000000}"/>
    <hyperlink ref="Q31" r:id="rId32" display="https://www.boliga.dk/maegler/796" xr:uid="{00000000-0004-0000-0900-00001F000000}"/>
    <hyperlink ref="G32" r:id="rId33" display="mailto:robin@mailreal.dk" xr:uid="{00000000-0004-0000-0900-000020000000}"/>
    <hyperlink ref="Q32" r:id="rId34" display="https://www.boliga.dk/maegler/28838" xr:uid="{00000000-0004-0000-0900-000021000000}"/>
    <hyperlink ref="Q33" r:id="rId35" display="https://www.boliga.dk/maegler/1083" xr:uid="{00000000-0004-0000-0900-000022000000}"/>
    <hyperlink ref="P34" r:id="rId36" display="mailto:koege@mailreal.dk" xr:uid="{00000000-0004-0000-0900-000023000000}"/>
    <hyperlink ref="Q34" r:id="rId37" display="https://www.boliga.dk/maegler/29124" xr:uid="{00000000-0004-0000-0900-000024000000}"/>
    <hyperlink ref="Q35" r:id="rId38" display="https://www.boliga.dk/maegler/25181" xr:uid="{00000000-0004-0000-0900-000025000000}"/>
    <hyperlink ref="Q36" r:id="rId39" display="https://www.boliga.dk/maegler/18738" xr:uid="{00000000-0004-0000-0900-000026000000}"/>
    <hyperlink ref="Q37" r:id="rId40" display="https://www.boliga.dk/maegler/29046" xr:uid="{00000000-0004-0000-0900-000027000000}"/>
    <hyperlink ref="Q38" r:id="rId41" display="https://www.boliga.dk/maegler/494" xr:uid="{00000000-0004-0000-0900-000028000000}"/>
    <hyperlink ref="Q39" r:id="rId42" display="https://www.boliga.dk/maegler/23089" xr:uid="{00000000-0004-0000-0900-000029000000}"/>
    <hyperlink ref="Q40" r:id="rId43" display="https://www.boliga.dk/maegler/18197" xr:uid="{00000000-0004-0000-0900-00002A000000}"/>
    <hyperlink ref="Q41" r:id="rId44" display="https://www.boliga.dk/maegler/18578" xr:uid="{00000000-0004-0000-0900-00002B000000}"/>
    <hyperlink ref="Q42" r:id="rId45" display="https://www.boliga.dk/maegler/706" xr:uid="{00000000-0004-0000-0900-00002C000000}"/>
    <hyperlink ref="G43" r:id="rId46" display="mailto:rajo@mailreal.dk" xr:uid="{00000000-0004-0000-0900-00002D000000}"/>
    <hyperlink ref="Q43" r:id="rId47" display="https://www.boliga.dk/maegler/22715" xr:uid="{00000000-0004-0000-0900-00002E000000}"/>
    <hyperlink ref="Q44" r:id="rId48" display="https://www.boliga.dk/maegler/17399" xr:uid="{00000000-0004-0000-0900-00002F000000}"/>
    <hyperlink ref="Q45" r:id="rId49" display="https://www.boliga.dk/maegler/29040" xr:uid="{00000000-0004-0000-0900-000030000000}"/>
    <hyperlink ref="Q46" r:id="rId50" display="https://www.boliga.dk/maegler/26579" xr:uid="{00000000-0004-0000-0900-000031000000}"/>
    <hyperlink ref="Q47" r:id="rId51" display="https://www.boliga.dk/maegler/18744" xr:uid="{00000000-0004-0000-0900-000032000000}"/>
    <hyperlink ref="Q48" r:id="rId52" display="https://www.boliga.dk/maegler/25973" xr:uid="{00000000-0004-0000-0900-000033000000}"/>
    <hyperlink ref="Q49" r:id="rId53" display="https://www.boliga.dk/maegler/1077" xr:uid="{00000000-0004-0000-0900-000034000000}"/>
    <hyperlink ref="Q50" r:id="rId54" display="https://www.boliga.dk/maegler/720" xr:uid="{00000000-0004-0000-0900-000035000000}"/>
    <hyperlink ref="Q51" r:id="rId55" display="https://www.boliga.dk/maegler/19183" xr:uid="{00000000-0004-0000-0900-000036000000}"/>
    <hyperlink ref="Q52" r:id="rId56" display="https://www.boliga.dk/maegler/613" xr:uid="{00000000-0004-0000-0900-000037000000}"/>
    <hyperlink ref="Q53" r:id="rId57" display="https://www.boliga.dk/maegler/26925" xr:uid="{00000000-0004-0000-0900-000038000000}"/>
    <hyperlink ref="Q54" r:id="rId58" display="https://www.boliga.dk/maegler/24723" xr:uid="{00000000-0004-0000-0900-000039000000}"/>
    <hyperlink ref="Q55" r:id="rId59" display="https://www.boliga.dk/maegler/25317" xr:uid="{00000000-0004-0000-0900-00003A000000}"/>
    <hyperlink ref="Q56" r:id="rId60" display="https://www.boliga.dk/maegler/18353" xr:uid="{00000000-0004-0000-0900-00003B000000}"/>
    <hyperlink ref="Q57" r:id="rId61" display="https://www.boliga.dk/maegler/17455" xr:uid="{00000000-0004-0000-0900-00003C000000}"/>
    <hyperlink ref="Q58" r:id="rId62" display="https://www.boliga.dk/maegler/17960" xr:uid="{00000000-0004-0000-0900-00003D000000}"/>
    <hyperlink ref="Q59" r:id="rId63" display="https://www.boliga.dk/maegler/29135" xr:uid="{00000000-0004-0000-0900-00003E000000}"/>
    <hyperlink ref="Q60" r:id="rId64" display="https://www.boliga.dk/maegler/24893" xr:uid="{00000000-0004-0000-0900-00003F000000}"/>
    <hyperlink ref="Q61" r:id="rId65" display="https://www.boliga.dk/maegler/26924" xr:uid="{00000000-0004-0000-0900-000040000000}"/>
    <hyperlink ref="Q62" r:id="rId66" display="https://www.boliga.dk/maegler/24574" xr:uid="{00000000-0004-0000-0900-000041000000}"/>
    <hyperlink ref="Q63" r:id="rId67" display="https://www.boliga.dk/maegler/29045" xr:uid="{00000000-0004-0000-0900-00004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D186"/>
  <sheetViews>
    <sheetView tabSelected="1" workbookViewId="0">
      <selection activeCell="C185" sqref="C185"/>
    </sheetView>
  </sheetViews>
  <sheetFormatPr defaultColWidth="12.6328125" defaultRowHeight="15.75" customHeight="1" x14ac:dyDescent="0.25"/>
  <cols>
    <col min="2" max="2" width="24.26953125" customWidth="1"/>
  </cols>
  <sheetData>
    <row r="1" spans="1:30" ht="15.75" customHeight="1" x14ac:dyDescent="0.35">
      <c r="A1" s="1" t="s">
        <v>0</v>
      </c>
      <c r="B1" s="2" t="s">
        <v>1</v>
      </c>
      <c r="C1" s="10" t="s">
        <v>2</v>
      </c>
      <c r="D1" s="9" t="s">
        <v>3</v>
      </c>
      <c r="E1" s="10" t="s">
        <v>4</v>
      </c>
      <c r="F1" s="2" t="s">
        <v>5</v>
      </c>
      <c r="G1" s="11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7" t="s">
        <v>28</v>
      </c>
      <c r="AD1" s="8"/>
    </row>
    <row r="2" spans="1:30" ht="15.75" customHeight="1" x14ac:dyDescent="0.25">
      <c r="A2" s="14" t="str">
        <f ca="1">IFERROR(__xludf.DUMMYFUNCTION("FILTER(Alle_andre!A2:AC350,Alle_andre!Y2:Y350=""Ja"")"),"Camilla")</f>
        <v>Camilla</v>
      </c>
      <c r="B2" s="14" t="str">
        <f ca="1">IFERROR(__xludf.DUMMYFUNCTION("""COMPUTED_VALUE"""),"Andersen Bolig")</f>
        <v>Andersen Bolig</v>
      </c>
      <c r="C2" s="14">
        <f ca="1">IFERROR(__xludf.DUMMYFUNCTION("""COMPUTED_VALUE"""),39557606)</f>
        <v>39557606</v>
      </c>
      <c r="D2" s="14" t="str">
        <f ca="1">IFERROR(__xludf.DUMMYFUNCTION("""COMPUTED_VALUE"""),"MG-SJ: 3.499,-")</f>
        <v>MG-SJ: 3.499,-</v>
      </c>
      <c r="E2" s="14">
        <f ca="1">IFERROR(__xludf.DUMMYFUNCTION("""COMPUTED_VALUE"""),1202)</f>
        <v>1202</v>
      </c>
      <c r="F2" s="14" t="str">
        <f ca="1">IFERROR(__xludf.DUMMYFUNCTION("""COMPUTED_VALUE"""),"Nicholas Andersen")</f>
        <v>Nicholas Andersen</v>
      </c>
      <c r="G2" s="14" t="str">
        <f ca="1">IFERROR(__xludf.DUMMYFUNCTION("""COMPUTED_VALUE"""),"nian@andersenbolig.dk")</f>
        <v>nian@andersenbolig.dk</v>
      </c>
      <c r="H2" s="14">
        <f ca="1">IFERROR(__xludf.DUMMYFUNCTION("""COMPUTED_VALUE"""),50605539)</f>
        <v>50605539</v>
      </c>
      <c r="I2" s="14" t="str">
        <f ca="1">IFERROR(__xludf.DUMMYFUNCTION("""COMPUTED_VALUE"""),"-")</f>
        <v>-</v>
      </c>
      <c r="J2" s="14" t="str">
        <f ca="1">IFERROR(__xludf.DUMMYFUNCTION("""COMPUTED_VALUE"""),"-")</f>
        <v>-</v>
      </c>
      <c r="K2" s="14" t="str">
        <f ca="1">IFERROR(__xludf.DUMMYFUNCTION("""COMPUTED_VALUE"""),"-")</f>
        <v>-</v>
      </c>
      <c r="L2" s="14" t="str">
        <f ca="1">IFERROR(__xludf.DUMMYFUNCTION("""COMPUTED_VALUE"""),"-")</f>
        <v>-</v>
      </c>
      <c r="M2" s="14" t="str">
        <f ca="1">IFERROR(__xludf.DUMMYFUNCTION("""COMPUTED_VALUE"""),"-")</f>
        <v>-</v>
      </c>
      <c r="N2" s="14" t="str">
        <f ca="1">IFERROR(__xludf.DUMMYFUNCTION("""COMPUTED_VALUE"""),"-")</f>
        <v>-</v>
      </c>
      <c r="O2" s="14">
        <f ca="1">IFERROR(__xludf.DUMMYFUNCTION("""COMPUTED_VALUE"""),88775757)</f>
        <v>88775757</v>
      </c>
      <c r="P2" s="14" t="str">
        <f ca="1">IFERROR(__xludf.DUMMYFUNCTION("""COMPUTED_VALUE"""),"info@andersenbolig.dk")</f>
        <v>info@andersenbolig.dk</v>
      </c>
      <c r="Q2" s="15" t="str">
        <f ca="1">IFERROR(__xludf.DUMMYFUNCTION("""COMPUTED_VALUE"""),"https://www.boliga.dk/maegler/26073")</f>
        <v>https://www.boliga.dk/maegler/26073</v>
      </c>
      <c r="R2" s="14" t="str">
        <f ca="1">IFERROR(__xludf.DUMMYFUNCTION("""COMPUTED_VALUE"""),"-")</f>
        <v>-</v>
      </c>
      <c r="S2" s="14" t="str">
        <f ca="1">IFERROR(__xludf.DUMMYFUNCTION("""COMPUTED_VALUE"""),"-")</f>
        <v>-</v>
      </c>
      <c r="T2" s="14" t="str">
        <f ca="1">IFERROR(__xludf.DUMMYFUNCTION("""COMPUTED_VALUE"""),"-")</f>
        <v>-</v>
      </c>
      <c r="U2" s="14">
        <f ca="1">IFERROR(__xludf.DUMMYFUNCTION("""COMPUTED_VALUE"""),27)</f>
        <v>27</v>
      </c>
      <c r="V2" s="14" t="str">
        <f ca="1">IFERROR(__xludf.DUMMYFUNCTION("""COMPUTED_VALUE"""),"4220, 3320, 2680, 2800, 4230, 4281, 4534, 4581, 4400, 3630, 4500, 4040, 4760, 4583, 4850, 4262, 4070, 4200, 4300, 4571, 4772")</f>
        <v>4220, 3320, 2680, 2800, 4230, 4281, 4534, 4581, 4400, 3630, 4500, 4040, 4760, 4583, 4850, 4262, 4070, 4200, 4300, 4571, 4772</v>
      </c>
      <c r="W2" s="14">
        <f ca="1">IFERROR(__xludf.DUMMYFUNCTION("""COMPUTED_VALUE"""),19)</f>
        <v>19</v>
      </c>
      <c r="X2" s="14" t="str">
        <f ca="1">IFERROR(__xludf.DUMMYFUNCTION("""COMPUTED_VALUE"""),"3600, 4490, 2605, 2870, 4400, 2860, 2680, 2630, 4720, 4874, 4173, 4070, 4990, 4281, 4534, 4200")</f>
        <v>3600, 4490, 2605, 2870, 4400, 2860, 2680, 2630, 4720, 4874, 4173, 4070, 4990, 4281, 4534, 4200</v>
      </c>
      <c r="Y2" s="14" t="str">
        <f ca="1">IFERROR(__xludf.DUMMYFUNCTION("""COMPUTED_VALUE"""),"ja")</f>
        <v>ja</v>
      </c>
      <c r="Z2" s="14" t="str">
        <f ca="1">IFERROR(__xludf.DUMMYFUNCTION("""COMPUTED_VALUE"""),"Alle leads skal til cw@andersenbolig.dk
Faktura til faktura@andersenbolig.dk")</f>
        <v>Alle leads skal til cw@andersenbolig.dk
Faktura til faktura@andersenbolig.dk</v>
      </c>
      <c r="AA2" s="14"/>
      <c r="AB2" s="14" t="str">
        <f ca="1">IFERROR(__xludf.DUMMYFUNCTION("""COMPUTED_VALUE"""),"x")</f>
        <v>x</v>
      </c>
      <c r="AC2" s="14" t="str">
        <f ca="1">IFERROR(__xludf.DUMMYFUNCTION("""COMPUTED_VALUE"""),"x")</f>
        <v>x</v>
      </c>
    </row>
    <row r="3" spans="1:30" ht="15.75" customHeight="1" x14ac:dyDescent="0.25">
      <c r="A3" s="14" t="str">
        <f ca="1">IFERROR(__xludf.DUMMYFUNCTION("""COMPUTED_VALUE"""),"Camilla")</f>
        <v>Camilla</v>
      </c>
      <c r="B3" s="14" t="str">
        <f ca="1">IFERROR(__xludf.DUMMYFUNCTION("""COMPUTED_VALUE"""),"DomusConnect - Jy og SJ")</f>
        <v>DomusConnect - Jy og SJ</v>
      </c>
      <c r="C3" s="14">
        <f ca="1">IFERROR(__xludf.DUMMYFUNCTION("""COMPUTED_VALUE"""),40770445)</f>
        <v>40770445</v>
      </c>
      <c r="D3" s="14" t="str">
        <f ca="1">IFERROR(__xludf.DUMMYFUNCTION("""COMPUTED_VALUE"""),"MG-SJ: 3.499,-")</f>
        <v>MG-SJ: 3.499,-</v>
      </c>
      <c r="E3" s="14">
        <f ca="1">IFERROR(__xludf.DUMMYFUNCTION("""COMPUTED_VALUE"""),1202)</f>
        <v>1202</v>
      </c>
      <c r="F3" s="14" t="str">
        <f ca="1">IFERROR(__xludf.DUMMYFUNCTION("""COMPUTED_VALUE"""),"Anders Pedersen")</f>
        <v>Anders Pedersen</v>
      </c>
      <c r="G3" s="14" t="str">
        <f ca="1">IFERROR(__xludf.DUMMYFUNCTION("""COMPUTED_VALUE"""),"ap@domusconnect.dk")</f>
        <v>ap@domusconnect.dk</v>
      </c>
      <c r="H3" s="14">
        <f ca="1">IFERROR(__xludf.DUMMYFUNCTION("""COMPUTED_VALUE"""),30450030)</f>
        <v>30450030</v>
      </c>
      <c r="I3" s="14" t="str">
        <f ca="1">IFERROR(__xludf.DUMMYFUNCTION("""COMPUTED_VALUE"""),"-")</f>
        <v>-</v>
      </c>
      <c r="J3" s="14" t="str">
        <f ca="1">IFERROR(__xludf.DUMMYFUNCTION("""COMPUTED_VALUE"""),"-")</f>
        <v>-</v>
      </c>
      <c r="K3" s="14" t="str">
        <f ca="1">IFERROR(__xludf.DUMMYFUNCTION("""COMPUTED_VALUE"""),"-")</f>
        <v>-</v>
      </c>
      <c r="L3" s="14" t="str">
        <f ca="1">IFERROR(__xludf.DUMMYFUNCTION("""COMPUTED_VALUE"""),"-")</f>
        <v>-</v>
      </c>
      <c r="M3" s="14" t="str">
        <f ca="1">IFERROR(__xludf.DUMMYFUNCTION("""COMPUTED_VALUE"""),"-")</f>
        <v>-</v>
      </c>
      <c r="N3" s="14" t="str">
        <f ca="1">IFERROR(__xludf.DUMMYFUNCTION("""COMPUTED_VALUE"""),"-")</f>
        <v>-</v>
      </c>
      <c r="O3" s="14">
        <f ca="1">IFERROR(__xludf.DUMMYFUNCTION("""COMPUTED_VALUE"""),77301009)</f>
        <v>77301009</v>
      </c>
      <c r="P3" s="14" t="str">
        <f ca="1">IFERROR(__xludf.DUMMYFUNCTION("""COMPUTED_VALUE"""),"info@domusconnect.dk")</f>
        <v>info@domusconnect.dk</v>
      </c>
      <c r="Q3" s="15" t="str">
        <f ca="1">IFERROR(__xludf.DUMMYFUNCTION("""COMPUTED_VALUE"""),"https://www.boliga.dk/maegler/27601")</f>
        <v>https://www.boliga.dk/maegler/27601</v>
      </c>
      <c r="R3" s="14" t="str">
        <f ca="1">IFERROR(__xludf.DUMMYFUNCTION("""COMPUTED_VALUE"""),"-")</f>
        <v>-</v>
      </c>
      <c r="S3" s="14" t="str">
        <f ca="1">IFERROR(__xludf.DUMMYFUNCTION("""COMPUTED_VALUE"""),"-")</f>
        <v>-</v>
      </c>
      <c r="T3" s="14" t="str">
        <f ca="1">IFERROR(__xludf.DUMMYFUNCTION("""COMPUTED_VALUE"""),"-")</f>
        <v>-</v>
      </c>
      <c r="U3" s="14" t="str">
        <f ca="1">IFERROR(__xludf.DUMMYFUNCTION("""COMPUTED_VALUE"""),"-")</f>
        <v>-</v>
      </c>
      <c r="V3" s="14" t="str">
        <f ca="1">IFERROR(__xludf.DUMMYFUNCTION("""COMPUTED_VALUE"""),"-")</f>
        <v>-</v>
      </c>
      <c r="W3" s="14" t="str">
        <f ca="1">IFERROR(__xludf.DUMMYFUNCTION("""COMPUTED_VALUE"""),"-")</f>
        <v>-</v>
      </c>
      <c r="X3" s="14" t="str">
        <f ca="1">IFERROR(__xludf.DUMMYFUNCTION("""COMPUTED_VALUE"""),"-")</f>
        <v>-</v>
      </c>
      <c r="Y3" s="14" t="str">
        <f ca="1">IFERROR(__xludf.DUMMYFUNCTION("""COMPUTED_VALUE"""),"ja")</f>
        <v>ja</v>
      </c>
      <c r="Z3" s="14"/>
      <c r="AA3" s="14"/>
      <c r="AB3" s="14" t="str">
        <f ca="1">IFERROR(__xludf.DUMMYFUNCTION("""COMPUTED_VALUE"""),"x")</f>
        <v>x</v>
      </c>
      <c r="AC3" s="14" t="str">
        <f ca="1">IFERROR(__xludf.DUMMYFUNCTION("""COMPUTED_VALUE"""),"x")</f>
        <v>x</v>
      </c>
    </row>
    <row r="4" spans="1:30" ht="15.75" customHeight="1" x14ac:dyDescent="0.25">
      <c r="A4" s="14" t="str">
        <f ca="1">IFERROR(__xludf.DUMMYFUNCTION("""COMPUTED_VALUE"""),"Camilla")</f>
        <v>Camilla</v>
      </c>
      <c r="B4" s="14" t="str">
        <f ca="1">IFERROR(__xludf.DUMMYFUNCTION("""COMPUTED_VALUE"""),"Min Bolighandel Amager")</f>
        <v>Min Bolighandel Amager</v>
      </c>
      <c r="C4" s="14">
        <f ca="1">IFERROR(__xludf.DUMMYFUNCTION("""COMPUTED_VALUE"""),40109277)</f>
        <v>40109277</v>
      </c>
      <c r="D4" s="14" t="str">
        <f ca="1">IFERROR(__xludf.DUMMYFUNCTION("""COMPUTED_VALUE"""),"MG-SJ: 3.499,-")</f>
        <v>MG-SJ: 3.499,-</v>
      </c>
      <c r="E4" s="14">
        <f ca="1">IFERROR(__xludf.DUMMYFUNCTION("""COMPUTED_VALUE"""),1202)</f>
        <v>1202</v>
      </c>
      <c r="F4" s="14" t="str">
        <f ca="1">IFERROR(__xludf.DUMMYFUNCTION("""COMPUTED_VALUE"""),"Michele Møller")</f>
        <v>Michele Møller</v>
      </c>
      <c r="G4" s="14" t="str">
        <f ca="1">IFERROR(__xludf.DUMMYFUNCTION("""COMPUTED_VALUE"""),"michele@minbolighandel.dk")</f>
        <v>michele@minbolighandel.dk</v>
      </c>
      <c r="H4" s="14">
        <f ca="1">IFERROR(__xludf.DUMMYFUNCTION("""COMPUTED_VALUE"""),81595857)</f>
        <v>81595857</v>
      </c>
      <c r="I4" s="14" t="str">
        <f ca="1">IFERROR(__xludf.DUMMYFUNCTION("""COMPUTED_VALUE"""),"-")</f>
        <v>-</v>
      </c>
      <c r="J4" s="14" t="str">
        <f ca="1">IFERROR(__xludf.DUMMYFUNCTION("""COMPUTED_VALUE"""),"-")</f>
        <v>-</v>
      </c>
      <c r="K4" s="14" t="str">
        <f ca="1">IFERROR(__xludf.DUMMYFUNCTION("""COMPUTED_VALUE"""),"-")</f>
        <v>-</v>
      </c>
      <c r="L4" s="14" t="str">
        <f ca="1">IFERROR(__xludf.DUMMYFUNCTION("""COMPUTED_VALUE"""),"-")</f>
        <v>-</v>
      </c>
      <c r="M4" s="14" t="str">
        <f ca="1">IFERROR(__xludf.DUMMYFUNCTION("""COMPUTED_VALUE"""),"-")</f>
        <v>-</v>
      </c>
      <c r="N4" s="14" t="str">
        <f ca="1">IFERROR(__xludf.DUMMYFUNCTION("""COMPUTED_VALUE"""),"-")</f>
        <v>-</v>
      </c>
      <c r="O4" s="14">
        <f ca="1">IFERROR(__xludf.DUMMYFUNCTION("""COMPUTED_VALUE"""),52900012)</f>
        <v>52900012</v>
      </c>
      <c r="P4" s="14" t="str">
        <f ca="1">IFERROR(__xludf.DUMMYFUNCTION("""COMPUTED_VALUE"""),"david@minbolighandel.dk")</f>
        <v>david@minbolighandel.dk</v>
      </c>
      <c r="Q4" s="15" t="str">
        <f ca="1">IFERROR(__xludf.DUMMYFUNCTION("""COMPUTED_VALUE"""),"https://www.boliga.dk/maegler/25806")</f>
        <v>https://www.boliga.dk/maegler/25806</v>
      </c>
      <c r="R4" s="14" t="str">
        <f ca="1">IFERROR(__xludf.DUMMYFUNCTION("""COMPUTED_VALUE"""),"-")</f>
        <v>-</v>
      </c>
      <c r="S4" s="14" t="str">
        <f ca="1">IFERROR(__xludf.DUMMYFUNCTION("""COMPUTED_VALUE"""),"-")</f>
        <v>-</v>
      </c>
      <c r="T4" s="14" t="str">
        <f ca="1">IFERROR(__xludf.DUMMYFUNCTION("""COMPUTED_VALUE"""),"-")</f>
        <v>-</v>
      </c>
      <c r="U4" s="14">
        <f ca="1">IFERROR(__xludf.DUMMYFUNCTION("""COMPUTED_VALUE"""),2)</f>
        <v>2</v>
      </c>
      <c r="V4" s="14" t="str">
        <f ca="1">IFERROR(__xludf.DUMMYFUNCTION("""COMPUTED_VALUE"""),"2100, 2300")</f>
        <v>2100, 2300</v>
      </c>
      <c r="W4" s="14">
        <f ca="1">IFERROR(__xludf.DUMMYFUNCTION("""COMPUTED_VALUE"""),7)</f>
        <v>7</v>
      </c>
      <c r="X4" s="14">
        <f ca="1">IFERROR(__xludf.DUMMYFUNCTION("""COMPUTED_VALUE"""),2300)</f>
        <v>2300</v>
      </c>
      <c r="Y4" s="14" t="str">
        <f ca="1">IFERROR(__xludf.DUMMYFUNCTION("""COMPUTED_VALUE"""),"ja")</f>
        <v>ja</v>
      </c>
      <c r="Z4" s="14"/>
      <c r="AA4" s="14"/>
      <c r="AB4" s="14" t="str">
        <f ca="1">IFERROR(__xludf.DUMMYFUNCTION("""COMPUTED_VALUE"""),"x")</f>
        <v>x</v>
      </c>
      <c r="AC4" s="14" t="str">
        <f ca="1">IFERROR(__xludf.DUMMYFUNCTION("""COMPUTED_VALUE"""),"x")</f>
        <v>x</v>
      </c>
    </row>
    <row r="5" spans="1:30" ht="15.75" customHeight="1" x14ac:dyDescent="0.25">
      <c r="A5" s="14" t="str">
        <f ca="1">IFERROR(__xludf.DUMMYFUNCTION("""COMPUTED_VALUE"""),"Camilla")</f>
        <v>Camilla</v>
      </c>
      <c r="B5" s="14" t="str">
        <f ca="1">IFERROR(__xludf.DUMMYFUNCTION("""COMPUTED_VALUE"""),"Min Bolighandel Bagsværd, Søborg og Kgs. Lyngby")</f>
        <v>Min Bolighandel Bagsværd, Søborg og Kgs. Lyngby</v>
      </c>
      <c r="C5" s="14">
        <f ca="1">IFERROR(__xludf.DUMMYFUNCTION("""COMPUTED_VALUE"""),32677800)</f>
        <v>32677800</v>
      </c>
      <c r="D5" s="14" t="str">
        <f ca="1">IFERROR(__xludf.DUMMYFUNCTION("""COMPUTED_VALUE"""),"MG-SJ: 3.499,-")</f>
        <v>MG-SJ: 3.499,-</v>
      </c>
      <c r="E5" s="14">
        <f ca="1">IFERROR(__xludf.DUMMYFUNCTION("""COMPUTED_VALUE"""),1202)</f>
        <v>1202</v>
      </c>
      <c r="F5" s="14" t="str">
        <f ca="1">IFERROR(__xludf.DUMMYFUNCTION("""COMPUTED_VALUE"""),"Anne-Mette Skak")</f>
        <v>Anne-Mette Skak</v>
      </c>
      <c r="G5" s="15" t="str">
        <f ca="1">IFERROR(__xludf.DUMMYFUNCTION("""COMPUTED_VALUE"""),"anne-mette@minbolighandel.dk")</f>
        <v>anne-mette@minbolighandel.dk</v>
      </c>
      <c r="H5" s="14">
        <f ca="1">IFERROR(__xludf.DUMMYFUNCTION("""COMPUTED_VALUE"""),42484948)</f>
        <v>42484948</v>
      </c>
      <c r="I5" s="14" t="str">
        <f ca="1">IFERROR(__xludf.DUMMYFUNCTION("""COMPUTED_VALUE"""),"-")</f>
        <v>-</v>
      </c>
      <c r="J5" s="14" t="str">
        <f ca="1">IFERROR(__xludf.DUMMYFUNCTION("""COMPUTED_VALUE"""),"-")</f>
        <v>-</v>
      </c>
      <c r="K5" s="14" t="str">
        <f ca="1">IFERROR(__xludf.DUMMYFUNCTION("""COMPUTED_VALUE"""),"-")</f>
        <v>-</v>
      </c>
      <c r="L5" s="14" t="str">
        <f ca="1">IFERROR(__xludf.DUMMYFUNCTION("""COMPUTED_VALUE"""),"-")</f>
        <v>-</v>
      </c>
      <c r="M5" s="14" t="str">
        <f ca="1">IFERROR(__xludf.DUMMYFUNCTION("""COMPUTED_VALUE"""),"-")</f>
        <v>-</v>
      </c>
      <c r="N5" s="14" t="str">
        <f ca="1">IFERROR(__xludf.DUMMYFUNCTION("""COMPUTED_VALUE"""),"-")</f>
        <v>-</v>
      </c>
      <c r="O5" s="14">
        <f ca="1">IFERROR(__xludf.DUMMYFUNCTION("""COMPUTED_VALUE"""),42484948)</f>
        <v>42484948</v>
      </c>
      <c r="P5" s="14" t="str">
        <f ca="1">IFERROR(__xludf.DUMMYFUNCTION("""COMPUTED_VALUE"""),"anne-mette@minbolighandel.dk")</f>
        <v>anne-mette@minbolighandel.dk</v>
      </c>
      <c r="Q5" s="15" t="str">
        <f ca="1">IFERROR(__xludf.DUMMYFUNCTION("""COMPUTED_VALUE"""),"https://www.boliga.dk/maegler/25807")</f>
        <v>https://www.boliga.dk/maegler/25807</v>
      </c>
      <c r="R5" s="14" t="str">
        <f ca="1">IFERROR(__xludf.DUMMYFUNCTION("""COMPUTED_VALUE"""),"-")</f>
        <v>-</v>
      </c>
      <c r="S5" s="14" t="str">
        <f ca="1">IFERROR(__xludf.DUMMYFUNCTION("""COMPUTED_VALUE"""),"-")</f>
        <v>-</v>
      </c>
      <c r="T5" s="14" t="str">
        <f ca="1">IFERROR(__xludf.DUMMYFUNCTION("""COMPUTED_VALUE"""),"-")</f>
        <v>-</v>
      </c>
      <c r="U5" s="14">
        <f ca="1">IFERROR(__xludf.DUMMYFUNCTION("""COMPUTED_VALUE"""),1)</f>
        <v>1</v>
      </c>
      <c r="V5" s="14">
        <f ca="1">IFERROR(__xludf.DUMMYFUNCTION("""COMPUTED_VALUE"""),2860)</f>
        <v>2860</v>
      </c>
      <c r="W5" s="14">
        <f ca="1">IFERROR(__xludf.DUMMYFUNCTION("""COMPUTED_VALUE"""),1)</f>
        <v>1</v>
      </c>
      <c r="X5" s="14">
        <f ca="1">IFERROR(__xludf.DUMMYFUNCTION("""COMPUTED_VALUE"""),2800)</f>
        <v>2800</v>
      </c>
      <c r="Y5" s="14" t="str">
        <f ca="1">IFERROR(__xludf.DUMMYFUNCTION("""COMPUTED_VALUE"""),"ja")</f>
        <v>ja</v>
      </c>
      <c r="Z5" s="14"/>
      <c r="AA5" s="14"/>
      <c r="AB5" s="14" t="str">
        <f ca="1">IFERROR(__xludf.DUMMYFUNCTION("""COMPUTED_VALUE"""),"x")</f>
        <v>x</v>
      </c>
      <c r="AC5" s="14" t="str">
        <f ca="1">IFERROR(__xludf.DUMMYFUNCTION("""COMPUTED_VALUE"""),"x")</f>
        <v>x</v>
      </c>
    </row>
    <row r="6" spans="1:30" ht="15.75" customHeight="1" x14ac:dyDescent="0.25">
      <c r="A6" s="14" t="str">
        <f ca="1">IFERROR(__xludf.DUMMYFUNCTION("""COMPUTED_VALUE"""),"Camilla")</f>
        <v>Camilla</v>
      </c>
      <c r="B6" s="14" t="str">
        <f ca="1">IFERROR(__xludf.DUMMYFUNCTION("""COMPUTED_VALUE"""),"Min Bolighandel Bjæverskov")</f>
        <v>Min Bolighandel Bjæverskov</v>
      </c>
      <c r="C6" s="14">
        <f ca="1">IFERROR(__xludf.DUMMYFUNCTION("""COMPUTED_VALUE"""),30244265)</f>
        <v>30244265</v>
      </c>
      <c r="D6" s="14" t="str">
        <f ca="1">IFERROR(__xludf.DUMMYFUNCTION("""COMPUTED_VALUE"""),"MG-SJ: 3.499,-")</f>
        <v>MG-SJ: 3.499,-</v>
      </c>
      <c r="E6" s="14">
        <f ca="1">IFERROR(__xludf.DUMMYFUNCTION("""COMPUTED_VALUE"""),1202)</f>
        <v>1202</v>
      </c>
      <c r="F6" s="14" t="str">
        <f ca="1">IFERROR(__xludf.DUMMYFUNCTION("""COMPUTED_VALUE"""),"Arthur Nielsen")</f>
        <v>Arthur Nielsen</v>
      </c>
      <c r="G6" s="14" t="str">
        <f ca="1">IFERROR(__xludf.DUMMYFUNCTION("""COMPUTED_VALUE"""),"arthur@minbolighandel.dk")</f>
        <v>arthur@minbolighandel.dk</v>
      </c>
      <c r="H6" s="14">
        <f ca="1">IFERROR(__xludf.DUMMYFUNCTION("""COMPUTED_VALUE"""),21436659)</f>
        <v>21436659</v>
      </c>
      <c r="I6" s="14" t="str">
        <f ca="1">IFERROR(__xludf.DUMMYFUNCTION("""COMPUTED_VALUE"""),"-")</f>
        <v>-</v>
      </c>
      <c r="J6" s="14" t="str">
        <f ca="1">IFERROR(__xludf.DUMMYFUNCTION("""COMPUTED_VALUE"""),"-")</f>
        <v>-</v>
      </c>
      <c r="K6" s="14" t="str">
        <f ca="1">IFERROR(__xludf.DUMMYFUNCTION("""COMPUTED_VALUE"""),"-")</f>
        <v>-</v>
      </c>
      <c r="L6" s="14" t="str">
        <f ca="1">IFERROR(__xludf.DUMMYFUNCTION("""COMPUTED_VALUE"""),"-")</f>
        <v>-</v>
      </c>
      <c r="M6" s="14" t="str">
        <f ca="1">IFERROR(__xludf.DUMMYFUNCTION("""COMPUTED_VALUE"""),"-")</f>
        <v>-</v>
      </c>
      <c r="N6" s="14" t="str">
        <f ca="1">IFERROR(__xludf.DUMMYFUNCTION("""COMPUTED_VALUE"""),"-")</f>
        <v>-</v>
      </c>
      <c r="O6" s="14">
        <f ca="1">IFERROR(__xludf.DUMMYFUNCTION("""COMPUTED_VALUE"""),56870099)</f>
        <v>56870099</v>
      </c>
      <c r="P6" s="14" t="str">
        <f ca="1">IFERROR(__xludf.DUMMYFUNCTION("""COMPUTED_VALUE"""),"arthur@minbolighandel.dk")</f>
        <v>arthur@minbolighandel.dk</v>
      </c>
      <c r="Q6" s="15" t="str">
        <f ca="1">IFERROR(__xludf.DUMMYFUNCTION("""COMPUTED_VALUE"""),"https://www.boliga.dk/maegler/27892")</f>
        <v>https://www.boliga.dk/maegler/27892</v>
      </c>
      <c r="R6" s="14" t="str">
        <f ca="1">IFERROR(__xludf.DUMMYFUNCTION("""COMPUTED_VALUE"""),"-")</f>
        <v>-</v>
      </c>
      <c r="S6" s="14" t="str">
        <f ca="1">IFERROR(__xludf.DUMMYFUNCTION("""COMPUTED_VALUE"""),"-")</f>
        <v>-</v>
      </c>
      <c r="T6" s="14" t="str">
        <f ca="1">IFERROR(__xludf.DUMMYFUNCTION("""COMPUTED_VALUE"""),"-")</f>
        <v>-</v>
      </c>
      <c r="U6" s="14">
        <f ca="1">IFERROR(__xludf.DUMMYFUNCTION("""COMPUTED_VALUE"""),2)</f>
        <v>2</v>
      </c>
      <c r="V6" s="14" t="str">
        <f ca="1">IFERROR(__xludf.DUMMYFUNCTION("""COMPUTED_VALUE"""),"4100, 4632")</f>
        <v>4100, 4632</v>
      </c>
      <c r="W6" s="14">
        <f ca="1">IFERROR(__xludf.DUMMYFUNCTION("""COMPUTED_VALUE"""),2)</f>
        <v>2</v>
      </c>
      <c r="X6" s="14">
        <f ca="1">IFERROR(__xludf.DUMMYFUNCTION("""COMPUTED_VALUE"""),4632)</f>
        <v>4632</v>
      </c>
      <c r="Y6" s="14" t="str">
        <f ca="1">IFERROR(__xludf.DUMMYFUNCTION("""COMPUTED_VALUE"""),"ja")</f>
        <v>ja</v>
      </c>
      <c r="Z6" s="14" t="str">
        <f ca="1">IFERROR(__xludf.DUMMYFUNCTION("""COMPUTED_VALUE"""),"Svar på SMS")</f>
        <v>Svar på SMS</v>
      </c>
      <c r="AA6" s="14"/>
      <c r="AB6" s="14" t="str">
        <f ca="1">IFERROR(__xludf.DUMMYFUNCTION("""COMPUTED_VALUE"""),"x")</f>
        <v>x</v>
      </c>
      <c r="AC6" s="14" t="str">
        <f ca="1">IFERROR(__xludf.DUMMYFUNCTION("""COMPUTED_VALUE"""),"x")</f>
        <v>x</v>
      </c>
    </row>
    <row r="7" spans="1:30" ht="15.75" customHeight="1" x14ac:dyDescent="0.25">
      <c r="A7" s="14" t="str">
        <f ca="1">IFERROR(__xludf.DUMMYFUNCTION("""COMPUTED_VALUE"""),"Camilla")</f>
        <v>Camilla</v>
      </c>
      <c r="B7" s="14" t="str">
        <f ca="1">IFERROR(__xludf.DUMMYFUNCTION("""COMPUTED_VALUE"""),"Min Bolighandel Borup")</f>
        <v>Min Bolighandel Borup</v>
      </c>
      <c r="C7" s="14">
        <f ca="1">IFERROR(__xludf.DUMMYFUNCTION("""COMPUTED_VALUE"""),30244265)</f>
        <v>30244265</v>
      </c>
      <c r="D7" s="14" t="str">
        <f ca="1">IFERROR(__xludf.DUMMYFUNCTION("""COMPUTED_VALUE"""),"MG-SJ: 3.499,-")</f>
        <v>MG-SJ: 3.499,-</v>
      </c>
      <c r="E7" s="14">
        <f ca="1">IFERROR(__xludf.DUMMYFUNCTION("""COMPUTED_VALUE"""),1202)</f>
        <v>1202</v>
      </c>
      <c r="F7" s="14" t="str">
        <f ca="1">IFERROR(__xludf.DUMMYFUNCTION("""COMPUTED_VALUE"""),"Arthur Nielsen")</f>
        <v>Arthur Nielsen</v>
      </c>
      <c r="G7" s="14" t="str">
        <f ca="1">IFERROR(__xludf.DUMMYFUNCTION("""COMPUTED_VALUE"""),"arthur@minbolighandel.dk")</f>
        <v>arthur@minbolighandel.dk</v>
      </c>
      <c r="H7" s="14">
        <f ca="1">IFERROR(__xludf.DUMMYFUNCTION("""COMPUTED_VALUE"""),21436659)</f>
        <v>21436659</v>
      </c>
      <c r="I7" s="14" t="str">
        <f ca="1">IFERROR(__xludf.DUMMYFUNCTION("""COMPUTED_VALUE"""),"-")</f>
        <v>-</v>
      </c>
      <c r="J7" s="14" t="str">
        <f ca="1">IFERROR(__xludf.DUMMYFUNCTION("""COMPUTED_VALUE"""),"-")</f>
        <v>-</v>
      </c>
      <c r="K7" s="14" t="str">
        <f ca="1">IFERROR(__xludf.DUMMYFUNCTION("""COMPUTED_VALUE"""),"-")</f>
        <v>-</v>
      </c>
      <c r="L7" s="14" t="str">
        <f ca="1">IFERROR(__xludf.DUMMYFUNCTION("""COMPUTED_VALUE"""),"-")</f>
        <v>-</v>
      </c>
      <c r="M7" s="14" t="str">
        <f ca="1">IFERROR(__xludf.DUMMYFUNCTION("""COMPUTED_VALUE"""),"-")</f>
        <v>-</v>
      </c>
      <c r="N7" s="14" t="str">
        <f ca="1">IFERROR(__xludf.DUMMYFUNCTION("""COMPUTED_VALUE"""),"-")</f>
        <v>-</v>
      </c>
      <c r="O7" s="14">
        <f ca="1">IFERROR(__xludf.DUMMYFUNCTION("""COMPUTED_VALUE"""),21294476)</f>
        <v>21294476</v>
      </c>
      <c r="P7" s="14" t="str">
        <f ca="1">IFERROR(__xludf.DUMMYFUNCTION("""COMPUTED_VALUE"""),"bent@minbolighandel.dk")</f>
        <v>bent@minbolighandel.dk</v>
      </c>
      <c r="Q7" s="15" t="str">
        <f ca="1">IFERROR(__xludf.DUMMYFUNCTION("""COMPUTED_VALUE"""),"https://www.boliga.dk/maegler/27894")</f>
        <v>https://www.boliga.dk/maegler/27894</v>
      </c>
      <c r="R7" s="14" t="str">
        <f ca="1">IFERROR(__xludf.DUMMYFUNCTION("""COMPUTED_VALUE"""),"-")</f>
        <v>-</v>
      </c>
      <c r="S7" s="14" t="str">
        <f ca="1">IFERROR(__xludf.DUMMYFUNCTION("""COMPUTED_VALUE"""),"-")</f>
        <v>-</v>
      </c>
      <c r="T7" s="14" t="str">
        <f ca="1">IFERROR(__xludf.DUMMYFUNCTION("""COMPUTED_VALUE"""),"-")</f>
        <v>-</v>
      </c>
      <c r="U7" s="14">
        <f ca="1">IFERROR(__xludf.DUMMYFUNCTION("""COMPUTED_VALUE"""),3)</f>
        <v>3</v>
      </c>
      <c r="V7" s="14" t="str">
        <f ca="1">IFERROR(__xludf.DUMMYFUNCTION("""COMPUTED_VALUE"""),"4320, 4660, 4640")</f>
        <v>4320, 4660, 4640</v>
      </c>
      <c r="W7" s="14">
        <f ca="1">IFERROR(__xludf.DUMMYFUNCTION("""COMPUTED_VALUE"""),6)</f>
        <v>6</v>
      </c>
      <c r="X7" s="14" t="str">
        <f ca="1">IFERROR(__xludf.DUMMYFUNCTION("""COMPUTED_VALUE"""),"4320, 4140, 4640, 3720")</f>
        <v>4320, 4140, 4640, 3720</v>
      </c>
      <c r="Y7" s="14" t="str">
        <f ca="1">IFERROR(__xludf.DUMMYFUNCTION("""COMPUTED_VALUE"""),"ja")</f>
        <v>ja</v>
      </c>
      <c r="Z7" s="14" t="str">
        <f ca="1">IFERROR(__xludf.DUMMYFUNCTION("""COMPUTED_VALUE"""),"Svar på SMS")</f>
        <v>Svar på SMS</v>
      </c>
      <c r="AA7" s="14"/>
      <c r="AB7" s="14" t="str">
        <f ca="1">IFERROR(__xludf.DUMMYFUNCTION("""COMPUTED_VALUE"""),"x")</f>
        <v>x</v>
      </c>
      <c r="AC7" s="14" t="str">
        <f ca="1">IFERROR(__xludf.DUMMYFUNCTION("""COMPUTED_VALUE"""),"x")</f>
        <v>x</v>
      </c>
    </row>
    <row r="8" spans="1:30" ht="15.75" customHeight="1" x14ac:dyDescent="0.25">
      <c r="A8" s="14" t="str">
        <f ca="1">IFERROR(__xludf.DUMMYFUNCTION("""COMPUTED_VALUE"""),"Camilla")</f>
        <v>Camilla</v>
      </c>
      <c r="B8" s="14" t="str">
        <f ca="1">IFERROR(__xludf.DUMMYFUNCTION("""COMPUTED_VALUE"""),"Min Bolighandel Brønshøj, Herlev og Skovlunde")</f>
        <v>Min Bolighandel Brønshøj, Herlev og Skovlunde</v>
      </c>
      <c r="C8" s="14">
        <f ca="1">IFERROR(__xludf.DUMMYFUNCTION("""COMPUTED_VALUE"""),40109277)</f>
        <v>40109277</v>
      </c>
      <c r="D8" s="14" t="str">
        <f ca="1">IFERROR(__xludf.DUMMYFUNCTION("""COMPUTED_VALUE"""),"MG-SJ: 3.499,-")</f>
        <v>MG-SJ: 3.499,-</v>
      </c>
      <c r="E8" s="14">
        <f ca="1">IFERROR(__xludf.DUMMYFUNCTION("""COMPUTED_VALUE"""),1202)</f>
        <v>1202</v>
      </c>
      <c r="F8" s="14" t="str">
        <f ca="1">IFERROR(__xludf.DUMMYFUNCTION("""COMPUTED_VALUE"""),"Michele Møller")</f>
        <v>Michele Møller</v>
      </c>
      <c r="G8" s="14" t="str">
        <f ca="1">IFERROR(__xludf.DUMMYFUNCTION("""COMPUTED_VALUE"""),"michele@minbolighandel.dk")</f>
        <v>michele@minbolighandel.dk</v>
      </c>
      <c r="H8" s="14">
        <f ca="1">IFERROR(__xludf.DUMMYFUNCTION("""COMPUTED_VALUE"""),81595857)</f>
        <v>81595857</v>
      </c>
      <c r="I8" s="14" t="str">
        <f ca="1">IFERROR(__xludf.DUMMYFUNCTION("""COMPUTED_VALUE"""),"-")</f>
        <v>-</v>
      </c>
      <c r="J8" s="14" t="str">
        <f ca="1">IFERROR(__xludf.DUMMYFUNCTION("""COMPUTED_VALUE"""),"-")</f>
        <v>-</v>
      </c>
      <c r="K8" s="14" t="str">
        <f ca="1">IFERROR(__xludf.DUMMYFUNCTION("""COMPUTED_VALUE"""),"-")</f>
        <v>-</v>
      </c>
      <c r="L8" s="14" t="str">
        <f ca="1">IFERROR(__xludf.DUMMYFUNCTION("""COMPUTED_VALUE"""),"-")</f>
        <v>-</v>
      </c>
      <c r="M8" s="14" t="str">
        <f ca="1">IFERROR(__xludf.DUMMYFUNCTION("""COMPUTED_VALUE"""),"-")</f>
        <v>-</v>
      </c>
      <c r="N8" s="14" t="str">
        <f ca="1">IFERROR(__xludf.DUMMYFUNCTION("""COMPUTED_VALUE"""),"-")</f>
        <v>-</v>
      </c>
      <c r="O8" s="14">
        <f ca="1">IFERROR(__xludf.DUMMYFUNCTION("""COMPUTED_VALUE"""),81595857)</f>
        <v>81595857</v>
      </c>
      <c r="P8" s="14" t="str">
        <f ca="1">IFERROR(__xludf.DUMMYFUNCTION("""COMPUTED_VALUE"""),"michele@minbolighandel.dk")</f>
        <v>michele@minbolighandel.dk</v>
      </c>
      <c r="Q8" s="15" t="str">
        <f ca="1">IFERROR(__xludf.DUMMYFUNCTION("""COMPUTED_VALUE"""),"https://www.boliga.dk/maegler/25815")</f>
        <v>https://www.boliga.dk/maegler/25815</v>
      </c>
      <c r="R8" s="14" t="str">
        <f ca="1">IFERROR(__xludf.DUMMYFUNCTION("""COMPUTED_VALUE"""),"-")</f>
        <v>-</v>
      </c>
      <c r="S8" s="14" t="str">
        <f ca="1">IFERROR(__xludf.DUMMYFUNCTION("""COMPUTED_VALUE"""),"-")</f>
        <v>-</v>
      </c>
      <c r="T8" s="14" t="str">
        <f ca="1">IFERROR(__xludf.DUMMYFUNCTION("""COMPUTED_VALUE"""),"-")</f>
        <v>-</v>
      </c>
      <c r="U8" s="14">
        <f ca="1">IFERROR(__xludf.DUMMYFUNCTION("""COMPUTED_VALUE"""),5)</f>
        <v>5</v>
      </c>
      <c r="V8" s="14" t="str">
        <f ca="1">IFERROR(__xludf.DUMMYFUNCTION("""COMPUTED_VALUE"""),"2680, 2620, 2770, 2700")</f>
        <v>2680, 2620, 2770, 2700</v>
      </c>
      <c r="W8" s="14">
        <f ca="1">IFERROR(__xludf.DUMMYFUNCTION("""COMPUTED_VALUE"""),6)</f>
        <v>6</v>
      </c>
      <c r="X8" s="14" t="str">
        <f ca="1">IFERROR(__xludf.DUMMYFUNCTION("""COMPUTED_VALUE"""),"2730, 2740, 2630")</f>
        <v>2730, 2740, 2630</v>
      </c>
      <c r="Y8" s="14" t="str">
        <f ca="1">IFERROR(__xludf.DUMMYFUNCTION("""COMPUTED_VALUE"""),"ja")</f>
        <v>ja</v>
      </c>
      <c r="Z8" s="14"/>
      <c r="AA8" s="14"/>
      <c r="AB8" s="14" t="str">
        <f ca="1">IFERROR(__xludf.DUMMYFUNCTION("""COMPUTED_VALUE"""),"x")</f>
        <v>x</v>
      </c>
      <c r="AC8" s="14" t="str">
        <f ca="1">IFERROR(__xludf.DUMMYFUNCTION("""COMPUTED_VALUE"""),"x")</f>
        <v>x</v>
      </c>
    </row>
    <row r="9" spans="1:30" ht="15.75" customHeight="1" x14ac:dyDescent="0.25">
      <c r="A9" s="14" t="str">
        <f ca="1">IFERROR(__xludf.DUMMYFUNCTION("""COMPUTED_VALUE"""),"Camilla")</f>
        <v>Camilla</v>
      </c>
      <c r="B9" s="14" t="str">
        <f ca="1">IFERROR(__xludf.DUMMYFUNCTION("""COMPUTED_VALUE"""),"Min Bolighandel Faaborg-Midtfyn")</f>
        <v>Min Bolighandel Faaborg-Midtfyn</v>
      </c>
      <c r="C9" s="14">
        <f ca="1">IFERROR(__xludf.DUMMYFUNCTION("""COMPUTED_VALUE"""),36548886)</f>
        <v>36548886</v>
      </c>
      <c r="D9" s="14" t="str">
        <f ca="1">IFERROR(__xludf.DUMMYFUNCTION("""COMPUTED_VALUE"""),"MG-JY: 2.499,-")</f>
        <v>MG-JY: 2.499,-</v>
      </c>
      <c r="E9" s="14">
        <f ca="1">IFERROR(__xludf.DUMMYFUNCTION("""COMPUTED_VALUE"""),1201)</f>
        <v>1201</v>
      </c>
      <c r="F9" s="14" t="str">
        <f ca="1">IFERROR(__xludf.DUMMYFUNCTION("""COMPUTED_VALUE"""),"Lars Tribler")</f>
        <v>Lars Tribler</v>
      </c>
      <c r="G9" s="14" t="str">
        <f ca="1">IFERROR(__xludf.DUMMYFUNCTION("""COMPUTED_VALUE"""),"tribler@minbolighandel.dk")</f>
        <v>tribler@minbolighandel.dk</v>
      </c>
      <c r="H9" s="14">
        <f ca="1">IFERROR(__xludf.DUMMYFUNCTION("""COMPUTED_VALUE"""),71780655)</f>
        <v>71780655</v>
      </c>
      <c r="I9" s="14" t="str">
        <f ca="1">IFERROR(__xludf.DUMMYFUNCTION("""COMPUTED_VALUE"""),"-")</f>
        <v>-</v>
      </c>
      <c r="J9" s="14" t="str">
        <f ca="1">IFERROR(__xludf.DUMMYFUNCTION("""COMPUTED_VALUE"""),"-")</f>
        <v>-</v>
      </c>
      <c r="K9" s="14" t="str">
        <f ca="1">IFERROR(__xludf.DUMMYFUNCTION("""COMPUTED_VALUE"""),"-")</f>
        <v>-</v>
      </c>
      <c r="L9" s="14" t="str">
        <f ca="1">IFERROR(__xludf.DUMMYFUNCTION("""COMPUTED_VALUE"""),"-")</f>
        <v>-</v>
      </c>
      <c r="M9" s="14" t="str">
        <f ca="1">IFERROR(__xludf.DUMMYFUNCTION("""COMPUTED_VALUE"""),"-")</f>
        <v>-</v>
      </c>
      <c r="N9" s="14" t="str">
        <f ca="1">IFERROR(__xludf.DUMMYFUNCTION("""COMPUTED_VALUE"""),"-")</f>
        <v>-</v>
      </c>
      <c r="O9" s="14">
        <f ca="1">IFERROR(__xludf.DUMMYFUNCTION("""COMPUTED_VALUE"""),71780655)</f>
        <v>71780655</v>
      </c>
      <c r="P9" s="14" t="str">
        <f ca="1">IFERROR(__xludf.DUMMYFUNCTION("""COMPUTED_VALUE"""),"tribler@minbolighandel.dk")</f>
        <v>tribler@minbolighandel.dk</v>
      </c>
      <c r="Q9" s="15" t="str">
        <f ca="1">IFERROR(__xludf.DUMMYFUNCTION("""COMPUTED_VALUE"""),"https://www.boliga.dk/maegler/25819")</f>
        <v>https://www.boliga.dk/maegler/25819</v>
      </c>
      <c r="R9" s="14" t="str">
        <f ca="1">IFERROR(__xludf.DUMMYFUNCTION("""COMPUTED_VALUE"""),"-")</f>
        <v>-</v>
      </c>
      <c r="S9" s="14" t="str">
        <f ca="1">IFERROR(__xludf.DUMMYFUNCTION("""COMPUTED_VALUE"""),"-")</f>
        <v>-</v>
      </c>
      <c r="T9" s="14" t="str">
        <f ca="1">IFERROR(__xludf.DUMMYFUNCTION("""COMPUTED_VALUE"""),"-")</f>
        <v>-</v>
      </c>
      <c r="U9" s="14">
        <f ca="1">IFERROR(__xludf.DUMMYFUNCTION("""COMPUTED_VALUE"""),37)</f>
        <v>37</v>
      </c>
      <c r="V9" s="14" t="str">
        <f ca="1">IFERROR(__xludf.DUMMYFUNCTION("""COMPUTED_VALUE"""),"5600, 5642, 5580, 5620, 5672, 5750, 5762, 5854")</f>
        <v>5600, 5642, 5580, 5620, 5672, 5750, 5762, 5854</v>
      </c>
      <c r="W9" s="14">
        <f ca="1">IFERROR(__xludf.DUMMYFUNCTION("""COMPUTED_VALUE"""),7)</f>
        <v>7</v>
      </c>
      <c r="X9" s="14">
        <f ca="1">IFERROR(__xludf.DUMMYFUNCTION("""COMPUTED_VALUE"""),5600)</f>
        <v>5600</v>
      </c>
      <c r="Y9" s="14" t="str">
        <f ca="1">IFERROR(__xludf.DUMMYFUNCTION("""COMPUTED_VALUE"""),"ja")</f>
        <v>ja</v>
      </c>
      <c r="Z9" s="14"/>
      <c r="AA9" s="14"/>
      <c r="AB9" s="14" t="str">
        <f ca="1">IFERROR(__xludf.DUMMYFUNCTION("""COMPUTED_VALUE"""),"x")</f>
        <v>x</v>
      </c>
      <c r="AC9" s="14" t="str">
        <f ca="1">IFERROR(__xludf.DUMMYFUNCTION("""COMPUTED_VALUE"""),"x")</f>
        <v>x</v>
      </c>
    </row>
    <row r="10" spans="1:30" ht="15.75" customHeight="1" x14ac:dyDescent="0.25">
      <c r="A10" s="14" t="str">
        <f ca="1">IFERROR(__xludf.DUMMYFUNCTION("""COMPUTED_VALUE"""),"Camilla")</f>
        <v>Camilla</v>
      </c>
      <c r="B10" s="14" t="str">
        <f ca="1">IFERROR(__xludf.DUMMYFUNCTION("""COMPUTED_VALUE"""),"Min Bolighandel Hvalsø og Lejre")</f>
        <v>Min Bolighandel Hvalsø og Lejre</v>
      </c>
      <c r="C10" s="14">
        <f ca="1">IFERROR(__xludf.DUMMYFUNCTION("""COMPUTED_VALUE"""),42944580)</f>
        <v>42944580</v>
      </c>
      <c r="D10" s="14" t="str">
        <f ca="1">IFERROR(__xludf.DUMMYFUNCTION("""COMPUTED_VALUE"""),"MG-SJ: 3.499,-")</f>
        <v>MG-SJ: 3.499,-</v>
      </c>
      <c r="E10" s="14">
        <f ca="1">IFERROR(__xludf.DUMMYFUNCTION("""COMPUTED_VALUE"""),1202)</f>
        <v>1202</v>
      </c>
      <c r="F10" s="14" t="str">
        <f ca="1">IFERROR(__xludf.DUMMYFUNCTION("""COMPUTED_VALUE"""),"Jannie Skytte")</f>
        <v>Jannie Skytte</v>
      </c>
      <c r="G10" s="14" t="str">
        <f ca="1">IFERROR(__xludf.DUMMYFUNCTION("""COMPUTED_VALUE"""),"jannie@minbolighandel.dk")</f>
        <v>jannie@minbolighandel.dk</v>
      </c>
      <c r="H10" s="14">
        <f ca="1">IFERROR(__xludf.DUMMYFUNCTION("""COMPUTED_VALUE"""),42550078)</f>
        <v>42550078</v>
      </c>
      <c r="I10" s="14"/>
      <c r="J10" s="14"/>
      <c r="K10" s="14"/>
      <c r="L10" s="14"/>
      <c r="M10" s="14"/>
      <c r="N10" s="14"/>
      <c r="O10" s="14"/>
      <c r="P10" s="14" t="str">
        <f ca="1">IFERROR(__xludf.DUMMYFUNCTION("""COMPUTED_VALUE"""),"jannie@minbolighandel.dk")</f>
        <v>jannie@minbolighandel.dk</v>
      </c>
      <c r="Q10" s="14"/>
      <c r="R10" s="14"/>
      <c r="S10" s="14"/>
      <c r="T10" s="14"/>
      <c r="U10" s="14"/>
      <c r="V10" s="14"/>
      <c r="W10" s="14"/>
      <c r="X10" s="14"/>
      <c r="Y10" s="14" t="str">
        <f ca="1">IFERROR(__xludf.DUMMYFUNCTION("""COMPUTED_VALUE"""),"ja")</f>
        <v>ja</v>
      </c>
      <c r="Z10" s="14"/>
      <c r="AA10" s="14"/>
      <c r="AB10" s="14" t="str">
        <f ca="1">IFERROR(__xludf.DUMMYFUNCTION("""COMPUTED_VALUE"""),"x")</f>
        <v>x</v>
      </c>
      <c r="AC10" s="14" t="str">
        <f ca="1">IFERROR(__xludf.DUMMYFUNCTION("""COMPUTED_VALUE"""),"x")</f>
        <v>x</v>
      </c>
    </row>
    <row r="11" spans="1:30" ht="15.75" customHeight="1" x14ac:dyDescent="0.25">
      <c r="A11" s="14" t="str">
        <f ca="1">IFERROR(__xludf.DUMMYFUNCTION("""COMPUTED_VALUE"""),"Camilla")</f>
        <v>Camilla</v>
      </c>
      <c r="B11" s="14" t="str">
        <f ca="1">IFERROR(__xludf.DUMMYFUNCTION("""COMPUTED_VALUE"""),"Min Bolighandel Nordfyn")</f>
        <v>Min Bolighandel Nordfyn</v>
      </c>
      <c r="C11" s="14">
        <f ca="1">IFERROR(__xludf.DUMMYFUNCTION("""COMPUTED_VALUE"""),42379808)</f>
        <v>42379808</v>
      </c>
      <c r="D11" s="14" t="str">
        <f ca="1">IFERROR(__xludf.DUMMYFUNCTION("""COMPUTED_VALUE"""),"MG-JY: 2.499,-")</f>
        <v>MG-JY: 2.499,-</v>
      </c>
      <c r="E11" s="14">
        <f ca="1">IFERROR(__xludf.DUMMYFUNCTION("""COMPUTED_VALUE"""),1201)</f>
        <v>1201</v>
      </c>
      <c r="F11" s="14" t="str">
        <f ca="1">IFERROR(__xludf.DUMMYFUNCTION("""COMPUTED_VALUE"""),"Kasper Kabbel")</f>
        <v>Kasper Kabbel</v>
      </c>
      <c r="G11" s="14" t="str">
        <f ca="1">IFERROR(__xludf.DUMMYFUNCTION("""COMPUTED_VALUE"""),"kasper@minbolighandel.dk")</f>
        <v>kasper@minbolighandel.dk</v>
      </c>
      <c r="H11" s="14">
        <f ca="1">IFERROR(__xludf.DUMMYFUNCTION("""COMPUTED_VALUE"""),53690306)</f>
        <v>53690306</v>
      </c>
      <c r="I11" s="14"/>
      <c r="J11" s="14" t="str">
        <f ca="1">IFERROR(__xludf.DUMMYFUNCTION("""COMPUTED_VALUE"""),"-")</f>
        <v>-</v>
      </c>
      <c r="K11" s="14" t="str">
        <f ca="1">IFERROR(__xludf.DUMMYFUNCTION("""COMPUTED_VALUE"""),"-")</f>
        <v>-</v>
      </c>
      <c r="L11" s="14" t="str">
        <f ca="1">IFERROR(__xludf.DUMMYFUNCTION("""COMPUTED_VALUE"""),"-")</f>
        <v>-</v>
      </c>
      <c r="M11" s="14" t="str">
        <f ca="1">IFERROR(__xludf.DUMMYFUNCTION("""COMPUTED_VALUE"""),"-")</f>
        <v>-</v>
      </c>
      <c r="N11" s="14" t="str">
        <f ca="1">IFERROR(__xludf.DUMMYFUNCTION("""COMPUTED_VALUE"""),"-")</f>
        <v>-</v>
      </c>
      <c r="O11" s="14">
        <f ca="1">IFERROR(__xludf.DUMMYFUNCTION("""COMPUTED_VALUE"""),53690306)</f>
        <v>53690306</v>
      </c>
      <c r="P11" s="14" t="str">
        <f ca="1">IFERROR(__xludf.DUMMYFUNCTION("""COMPUTED_VALUE"""),"kasper@minbolighandel.dk")</f>
        <v>kasper@minbolighandel.dk</v>
      </c>
      <c r="Q11" s="15" t="str">
        <f ca="1">IFERROR(__xludf.DUMMYFUNCTION("""COMPUTED_VALUE"""),"https://www.boliga.dk/maegler/28424")</f>
        <v>https://www.boliga.dk/maegler/28424</v>
      </c>
      <c r="R11" s="14" t="str">
        <f ca="1">IFERROR(__xludf.DUMMYFUNCTION("""COMPUTED_VALUE"""),"-")</f>
        <v>-</v>
      </c>
      <c r="S11" s="14" t="str">
        <f ca="1">IFERROR(__xludf.DUMMYFUNCTION("""COMPUTED_VALUE"""),"-")</f>
        <v>-</v>
      </c>
      <c r="T11" s="14" t="str">
        <f ca="1">IFERROR(__xludf.DUMMYFUNCTION("""COMPUTED_VALUE"""),"-")</f>
        <v>-</v>
      </c>
      <c r="U11" s="14">
        <f ca="1">IFERROR(__xludf.DUMMYFUNCTION("""COMPUTED_VALUE"""),8)</f>
        <v>8</v>
      </c>
      <c r="V11" s="14" t="str">
        <f ca="1">IFERROR(__xludf.DUMMYFUNCTION("""COMPUTED_VALUE"""),"5464, 5450, 5492, 5462, 5560, 5471")</f>
        <v>5464, 5450, 5492, 5462, 5560, 5471</v>
      </c>
      <c r="W11" s="14">
        <f ca="1">IFERROR(__xludf.DUMMYFUNCTION("""COMPUTED_VALUE"""),2)</f>
        <v>2</v>
      </c>
      <c r="X11" s="14" t="str">
        <f ca="1">IFERROR(__xludf.DUMMYFUNCTION("""COMPUTED_VALUE"""),"5450, 5270")</f>
        <v>5450, 5270</v>
      </c>
      <c r="Y11" s="14" t="str">
        <f ca="1">IFERROR(__xludf.DUMMYFUNCTION("""COMPUTED_VALUE"""),"ja")</f>
        <v>ja</v>
      </c>
      <c r="Z11" s="14"/>
      <c r="AA11" s="14"/>
      <c r="AB11" s="14" t="str">
        <f ca="1">IFERROR(__xludf.DUMMYFUNCTION("""COMPUTED_VALUE"""),"x")</f>
        <v>x</v>
      </c>
      <c r="AC11" s="14" t="str">
        <f ca="1">IFERROR(__xludf.DUMMYFUNCTION("""COMPUTED_VALUE"""),"x")</f>
        <v>x</v>
      </c>
    </row>
    <row r="12" spans="1:30" ht="15.75" customHeight="1" x14ac:dyDescent="0.25">
      <c r="A12" s="14" t="str">
        <f ca="1">IFERROR(__xludf.DUMMYFUNCTION("""COMPUTED_VALUE"""),"Camilla")</f>
        <v>Camilla</v>
      </c>
      <c r="B12" s="14" t="str">
        <f ca="1">IFERROR(__xludf.DUMMYFUNCTION("""COMPUTED_VALUE"""),"Min Bolighandel Slagelse og Sorø")</f>
        <v>Min Bolighandel Slagelse og Sorø</v>
      </c>
      <c r="C12" s="14">
        <f ca="1">IFERROR(__xludf.DUMMYFUNCTION("""COMPUTED_VALUE"""),37416746)</f>
        <v>37416746</v>
      </c>
      <c r="D12" s="14" t="str">
        <f ca="1">IFERROR(__xludf.DUMMYFUNCTION("""COMPUTED_VALUE"""),"MG-SJ: 3.499,-")</f>
        <v>MG-SJ: 3.499,-</v>
      </c>
      <c r="E12" s="14">
        <f ca="1">IFERROR(__xludf.DUMMYFUNCTION("""COMPUTED_VALUE"""),1202)</f>
        <v>1202</v>
      </c>
      <c r="F12" s="14" t="str">
        <f ca="1">IFERROR(__xludf.DUMMYFUNCTION("""COMPUTED_VALUE"""),"Hanne Steenberg")</f>
        <v>Hanne Steenberg</v>
      </c>
      <c r="G12" s="14" t="str">
        <f ca="1">IFERROR(__xludf.DUMMYFUNCTION("""COMPUTED_VALUE"""),"hanne@minbolighandel.dk")</f>
        <v>hanne@minbolighandel.dk</v>
      </c>
      <c r="H12" s="14">
        <f ca="1">IFERROR(__xludf.DUMMYFUNCTION("""COMPUTED_VALUE"""),22987488)</f>
        <v>22987488</v>
      </c>
      <c r="I12" s="14" t="str">
        <f ca="1">IFERROR(__xludf.DUMMYFUNCTION("""COMPUTED_VALUE"""),"-")</f>
        <v>-</v>
      </c>
      <c r="J12" s="14" t="str">
        <f ca="1">IFERROR(__xludf.DUMMYFUNCTION("""COMPUTED_VALUE"""),"-")</f>
        <v>-</v>
      </c>
      <c r="K12" s="14" t="str">
        <f ca="1">IFERROR(__xludf.DUMMYFUNCTION("""COMPUTED_VALUE"""),"-")</f>
        <v>-</v>
      </c>
      <c r="L12" s="14" t="str">
        <f ca="1">IFERROR(__xludf.DUMMYFUNCTION("""COMPUTED_VALUE"""),"-")</f>
        <v>-</v>
      </c>
      <c r="M12" s="14" t="str">
        <f ca="1">IFERROR(__xludf.DUMMYFUNCTION("""COMPUTED_VALUE"""),"-")</f>
        <v>-</v>
      </c>
      <c r="N12" s="14" t="str">
        <f ca="1">IFERROR(__xludf.DUMMYFUNCTION("""COMPUTED_VALUE"""),"-")</f>
        <v>-</v>
      </c>
      <c r="O12" s="14">
        <f ca="1">IFERROR(__xludf.DUMMYFUNCTION("""COMPUTED_VALUE"""),22987488)</f>
        <v>22987488</v>
      </c>
      <c r="P12" s="14" t="str">
        <f ca="1">IFERROR(__xludf.DUMMYFUNCTION("""COMPUTED_VALUE"""),"hanne@minbolighandel.dk")</f>
        <v>hanne@minbolighandel.dk</v>
      </c>
      <c r="Q12" s="15" t="str">
        <f ca="1">IFERROR(__xludf.DUMMYFUNCTION("""COMPUTED_VALUE"""),"https://www.boliga.dk/maegler/25817")</f>
        <v>https://www.boliga.dk/maegler/25817</v>
      </c>
      <c r="R12" s="14" t="str">
        <f ca="1">IFERROR(__xludf.DUMMYFUNCTION("""COMPUTED_VALUE"""),"-")</f>
        <v>-</v>
      </c>
      <c r="S12" s="14" t="str">
        <f ca="1">IFERROR(__xludf.DUMMYFUNCTION("""COMPUTED_VALUE"""),"-")</f>
        <v>-</v>
      </c>
      <c r="T12" s="14" t="str">
        <f ca="1">IFERROR(__xludf.DUMMYFUNCTION("""COMPUTED_VALUE"""),"-")</f>
        <v>-</v>
      </c>
      <c r="U12" s="14">
        <f ca="1">IFERROR(__xludf.DUMMYFUNCTION("""COMPUTED_VALUE"""),13)</f>
        <v>13</v>
      </c>
      <c r="V12" s="14" t="str">
        <f ca="1">IFERROR(__xludf.DUMMYFUNCTION("""COMPUTED_VALUE"""),"4261, 4200, 4180, 4291, 4281")</f>
        <v>4261, 4200, 4180, 4291, 4281</v>
      </c>
      <c r="W12" s="14">
        <f ca="1">IFERROR(__xludf.DUMMYFUNCTION("""COMPUTED_VALUE"""),10)</f>
        <v>10</v>
      </c>
      <c r="X12" s="14" t="str">
        <f ca="1">IFERROR(__xludf.DUMMYFUNCTION("""COMPUTED_VALUE"""),"4100, 4200")</f>
        <v>4100, 4200</v>
      </c>
      <c r="Y12" s="14" t="str">
        <f ca="1">IFERROR(__xludf.DUMMYFUNCTION("""COMPUTED_VALUE"""),"ja")</f>
        <v>ja</v>
      </c>
      <c r="Z12" s="14"/>
      <c r="AA12" s="14"/>
      <c r="AB12" s="14" t="str">
        <f ca="1">IFERROR(__xludf.DUMMYFUNCTION("""COMPUTED_VALUE"""),"x")</f>
        <v>x</v>
      </c>
      <c r="AC12" s="14" t="str">
        <f ca="1">IFERROR(__xludf.DUMMYFUNCTION("""COMPUTED_VALUE"""),"x")</f>
        <v>x</v>
      </c>
    </row>
    <row r="13" spans="1:30" ht="15.75" customHeight="1" x14ac:dyDescent="0.25">
      <c r="A13" s="14" t="str">
        <f ca="1">IFERROR(__xludf.DUMMYFUNCTION("""COMPUTED_VALUE"""),"Camilla")</f>
        <v>Camilla</v>
      </c>
      <c r="B13" s="14" t="str">
        <f ca="1">IFERROR(__xludf.DUMMYFUNCTION("""COMPUTED_VALUE"""),"Min Bolighandel Svendborg")</f>
        <v>Min Bolighandel Svendborg</v>
      </c>
      <c r="C13" s="14">
        <f ca="1">IFERROR(__xludf.DUMMYFUNCTION("""COMPUTED_VALUE"""),40009140)</f>
        <v>40009140</v>
      </c>
      <c r="D13" s="14" t="str">
        <f ca="1">IFERROR(__xludf.DUMMYFUNCTION("""COMPUTED_VALUE"""),"MG-JY: 2.499,-")</f>
        <v>MG-JY: 2.499,-</v>
      </c>
      <c r="E13" s="14">
        <f ca="1">IFERROR(__xludf.DUMMYFUNCTION("""COMPUTED_VALUE"""),1201)</f>
        <v>1201</v>
      </c>
      <c r="F13" s="14" t="str">
        <f ca="1">IFERROR(__xludf.DUMMYFUNCTION("""COMPUTED_VALUE"""),"Henrik Simonsen")</f>
        <v>Henrik Simonsen</v>
      </c>
      <c r="G13" s="14" t="str">
        <f ca="1">IFERROR(__xludf.DUMMYFUNCTION("""COMPUTED_VALUE"""),"henrik@minbolighandel.dk")</f>
        <v>henrik@minbolighandel.dk</v>
      </c>
      <c r="H13" s="14">
        <f ca="1">IFERROR(__xludf.DUMMYFUNCTION("""COMPUTED_VALUE"""),20535581)</f>
        <v>20535581</v>
      </c>
      <c r="I13" s="14" t="str">
        <f ca="1">IFERROR(__xludf.DUMMYFUNCTION("""COMPUTED_VALUE"""),"-")</f>
        <v>-</v>
      </c>
      <c r="J13" s="14" t="str">
        <f ca="1">IFERROR(__xludf.DUMMYFUNCTION("""COMPUTED_VALUE"""),"-")</f>
        <v>-</v>
      </c>
      <c r="K13" s="14" t="str">
        <f ca="1">IFERROR(__xludf.DUMMYFUNCTION("""COMPUTED_VALUE"""),"-")</f>
        <v>-</v>
      </c>
      <c r="L13" s="14" t="str">
        <f ca="1">IFERROR(__xludf.DUMMYFUNCTION("""COMPUTED_VALUE"""),"-")</f>
        <v>-</v>
      </c>
      <c r="M13" s="14" t="str">
        <f ca="1">IFERROR(__xludf.DUMMYFUNCTION("""COMPUTED_VALUE"""),"-")</f>
        <v>-</v>
      </c>
      <c r="N13" s="14" t="str">
        <f ca="1">IFERROR(__xludf.DUMMYFUNCTION("""COMPUTED_VALUE"""),"-")</f>
        <v>-</v>
      </c>
      <c r="O13" s="14">
        <f ca="1">IFERROR(__xludf.DUMMYFUNCTION("""COMPUTED_VALUE"""),20535581)</f>
        <v>20535581</v>
      </c>
      <c r="P13" s="14" t="str">
        <f ca="1">IFERROR(__xludf.DUMMYFUNCTION("""COMPUTED_VALUE"""),"svendborg@minbolighandel.dk")</f>
        <v>svendborg@minbolighandel.dk</v>
      </c>
      <c r="Q13" s="15" t="str">
        <f ca="1">IFERROR(__xludf.DUMMYFUNCTION("""COMPUTED_VALUE"""),"https://www.boliga.dk/maegler/27895")</f>
        <v>https://www.boliga.dk/maegler/27895</v>
      </c>
      <c r="R13" s="14" t="str">
        <f ca="1">IFERROR(__xludf.DUMMYFUNCTION("""COMPUTED_VALUE"""),"-")</f>
        <v>-</v>
      </c>
      <c r="S13" s="14" t="str">
        <f ca="1">IFERROR(__xludf.DUMMYFUNCTION("""COMPUTED_VALUE"""),"-")</f>
        <v>-</v>
      </c>
      <c r="T13" s="14" t="str">
        <f ca="1">IFERROR(__xludf.DUMMYFUNCTION("""COMPUTED_VALUE"""),"-")</f>
        <v>-</v>
      </c>
      <c r="U13" s="14">
        <f ca="1">IFERROR(__xludf.DUMMYFUNCTION("""COMPUTED_VALUE"""),9)</f>
        <v>9</v>
      </c>
      <c r="V13" s="14" t="str">
        <f ca="1">IFERROR(__xludf.DUMMYFUNCTION("""COMPUTED_VALUE"""),"5771, 5874, 5540, 5700, 5600, 5932, 5953")</f>
        <v>5771, 5874, 5540, 5700, 5600, 5932, 5953</v>
      </c>
      <c r="W13" s="14">
        <f ca="1">IFERROR(__xludf.DUMMYFUNCTION("""COMPUTED_VALUE"""),6)</f>
        <v>6</v>
      </c>
      <c r="X13" s="14" t="str">
        <f ca="1">IFERROR(__xludf.DUMMYFUNCTION("""COMPUTED_VALUE"""),"5700, 5762, 5540, 5464, 5900")</f>
        <v>5700, 5762, 5540, 5464, 5900</v>
      </c>
      <c r="Y13" s="14" t="str">
        <f ca="1">IFERROR(__xludf.DUMMYFUNCTION("""COMPUTED_VALUE"""),"ja")</f>
        <v>ja</v>
      </c>
      <c r="Z13" s="14"/>
      <c r="AA13" s="14"/>
      <c r="AB13" s="14" t="str">
        <f ca="1">IFERROR(__xludf.DUMMYFUNCTION("""COMPUTED_VALUE"""),"x")</f>
        <v>x</v>
      </c>
      <c r="AC13" s="14" t="str">
        <f ca="1">IFERROR(__xludf.DUMMYFUNCTION("""COMPUTED_VALUE"""),"x")</f>
        <v>x</v>
      </c>
    </row>
    <row r="14" spans="1:30" ht="15.75" customHeight="1" x14ac:dyDescent="0.25">
      <c r="A14" s="14" t="str">
        <f ca="1">IFERROR(__xludf.DUMMYFUNCTION("""COMPUTED_VALUE"""),"Camilla")</f>
        <v>Camilla</v>
      </c>
      <c r="B14" s="14" t="str">
        <f ca="1">IFERROR(__xludf.DUMMYFUNCTION("""COMPUTED_VALUE"""),"Min Bolighandel Vejle-Hedensted")</f>
        <v>Min Bolighandel Vejle-Hedensted</v>
      </c>
      <c r="C14" s="14">
        <f ca="1">IFERROR(__xludf.DUMMYFUNCTION("""COMPUTED_VALUE"""),37519367)</f>
        <v>37519367</v>
      </c>
      <c r="D14" s="14" t="str">
        <f ca="1">IFERROR(__xludf.DUMMYFUNCTION("""COMPUTED_VALUE"""),"MG-JY: 2.499,-")</f>
        <v>MG-JY: 2.499,-</v>
      </c>
      <c r="E14" s="14">
        <f ca="1">IFERROR(__xludf.DUMMYFUNCTION("""COMPUTED_VALUE"""),1201)</f>
        <v>1201</v>
      </c>
      <c r="F14" s="14" t="str">
        <f ca="1">IFERROR(__xludf.DUMMYFUNCTION("""COMPUTED_VALUE"""),"Preben Jensen")</f>
        <v>Preben Jensen</v>
      </c>
      <c r="G14" s="14" t="str">
        <f ca="1">IFERROR(__xludf.DUMMYFUNCTION("""COMPUTED_VALUE"""),"preben@minbolighandel.dk")</f>
        <v>preben@minbolighandel.dk</v>
      </c>
      <c r="H14" s="14">
        <f ca="1">IFERROR(__xludf.DUMMYFUNCTION("""COMPUTED_VALUE"""),27609032)</f>
        <v>27609032</v>
      </c>
      <c r="I14" s="14" t="str">
        <f ca="1">IFERROR(__xludf.DUMMYFUNCTION("""COMPUTED_VALUE"""),"-")</f>
        <v>-</v>
      </c>
      <c r="J14" s="14" t="str">
        <f ca="1">IFERROR(__xludf.DUMMYFUNCTION("""COMPUTED_VALUE"""),"-")</f>
        <v>-</v>
      </c>
      <c r="K14" s="14" t="str">
        <f ca="1">IFERROR(__xludf.DUMMYFUNCTION("""COMPUTED_VALUE"""),"-")</f>
        <v>-</v>
      </c>
      <c r="L14" s="14" t="str">
        <f ca="1">IFERROR(__xludf.DUMMYFUNCTION("""COMPUTED_VALUE"""),"-")</f>
        <v>-</v>
      </c>
      <c r="M14" s="14" t="str">
        <f ca="1">IFERROR(__xludf.DUMMYFUNCTION("""COMPUTED_VALUE"""),"-")</f>
        <v>-</v>
      </c>
      <c r="N14" s="14" t="str">
        <f ca="1">IFERROR(__xludf.DUMMYFUNCTION("""COMPUTED_VALUE"""),"-")</f>
        <v>-</v>
      </c>
      <c r="O14" s="14">
        <f ca="1">IFERROR(__xludf.DUMMYFUNCTION("""COMPUTED_VALUE"""),27609032)</f>
        <v>27609032</v>
      </c>
      <c r="P14" s="14" t="str">
        <f ca="1">IFERROR(__xludf.DUMMYFUNCTION("""COMPUTED_VALUE"""),"preben@minbolighandel.dk")</f>
        <v>preben@minbolighandel.dk</v>
      </c>
      <c r="Q14" s="15" t="str">
        <f ca="1">IFERROR(__xludf.DUMMYFUNCTION("""COMPUTED_VALUE"""),"https://www.boliga.dk/maegler/25813")</f>
        <v>https://www.boliga.dk/maegler/25813</v>
      </c>
      <c r="R14" s="14" t="str">
        <f ca="1">IFERROR(__xludf.DUMMYFUNCTION("""COMPUTED_VALUE"""),"-")</f>
        <v>-</v>
      </c>
      <c r="S14" s="14" t="str">
        <f ca="1">IFERROR(__xludf.DUMMYFUNCTION("""COMPUTED_VALUE"""),"-")</f>
        <v>-</v>
      </c>
      <c r="T14" s="14" t="str">
        <f ca="1">IFERROR(__xludf.DUMMYFUNCTION("""COMPUTED_VALUE"""),"-")</f>
        <v>-</v>
      </c>
      <c r="U14" s="14">
        <f ca="1">IFERROR(__xludf.DUMMYFUNCTION("""COMPUTED_VALUE"""),7)</f>
        <v>7</v>
      </c>
      <c r="V14" s="14" t="str">
        <f ca="1">IFERROR(__xludf.DUMMYFUNCTION("""COMPUTED_VALUE"""),"7100, 7160, 7120, 7182")</f>
        <v>7100, 7160, 7120, 7182</v>
      </c>
      <c r="W14" s="14">
        <f ca="1">IFERROR(__xludf.DUMMYFUNCTION("""COMPUTED_VALUE"""),1)</f>
        <v>1</v>
      </c>
      <c r="X14" s="14">
        <f ca="1">IFERROR(__xludf.DUMMYFUNCTION("""COMPUTED_VALUE"""),7182)</f>
        <v>7182</v>
      </c>
      <c r="Y14" s="14" t="str">
        <f ca="1">IFERROR(__xludf.DUMMYFUNCTION("""COMPUTED_VALUE"""),"ja")</f>
        <v>ja</v>
      </c>
      <c r="Z14" s="14"/>
      <c r="AA14" s="14"/>
      <c r="AB14" s="14" t="str">
        <f ca="1">IFERROR(__xludf.DUMMYFUNCTION("""COMPUTED_VALUE"""),"x")</f>
        <v>x</v>
      </c>
      <c r="AC14" s="14" t="str">
        <f ca="1">IFERROR(__xludf.DUMMYFUNCTION("""COMPUTED_VALUE"""),"x")</f>
        <v>x</v>
      </c>
    </row>
    <row r="15" spans="1:30" ht="15.75" customHeight="1" x14ac:dyDescent="0.25">
      <c r="A15" s="14" t="str">
        <f ca="1">IFERROR(__xludf.DUMMYFUNCTION("""COMPUTED_VALUE"""),"Camilla")</f>
        <v>Camilla</v>
      </c>
      <c r="B15" s="14" t="str">
        <f ca="1">IFERROR(__xludf.DUMMYFUNCTION("""COMPUTED_VALUE"""),"Min Bolighandel City")</f>
        <v>Min Bolighandel City</v>
      </c>
      <c r="C15" s="14">
        <f ca="1">IFERROR(__xludf.DUMMYFUNCTION("""COMPUTED_VALUE"""),42859974)</f>
        <v>42859974</v>
      </c>
      <c r="D15" s="14" t="str">
        <f ca="1">IFERROR(__xludf.DUMMYFUNCTION("""COMPUTED_VALUE"""),"MG-SJ: 3.499,-")</f>
        <v>MG-SJ: 3.499,-</v>
      </c>
      <c r="E15" s="14">
        <f ca="1">IFERROR(__xludf.DUMMYFUNCTION("""COMPUTED_VALUE"""),1202)</f>
        <v>1202</v>
      </c>
      <c r="F15" s="14" t="str">
        <f ca="1">IFERROR(__xludf.DUMMYFUNCTION("""COMPUTED_VALUE"""),"Simon Christensen")</f>
        <v>Simon Christensen</v>
      </c>
      <c r="G15" s="14" t="str">
        <f ca="1">IFERROR(__xludf.DUMMYFUNCTION("""COMPUTED_VALUE"""),"simon@minbolighandel.dk")</f>
        <v>simon@minbolighandel.dk</v>
      </c>
      <c r="H15" s="14">
        <f ca="1">IFERROR(__xludf.DUMMYFUNCTION("""COMPUTED_VALUE"""),51334060)</f>
        <v>51334060</v>
      </c>
      <c r="I15" s="14" t="str">
        <f ca="1">IFERROR(__xludf.DUMMYFUNCTION("""COMPUTED_VALUE"""),"-")</f>
        <v>-</v>
      </c>
      <c r="J15" s="14" t="str">
        <f ca="1">IFERROR(__xludf.DUMMYFUNCTION("""COMPUTED_VALUE"""),"-")</f>
        <v>-</v>
      </c>
      <c r="K15" s="14" t="str">
        <f ca="1">IFERROR(__xludf.DUMMYFUNCTION("""COMPUTED_VALUE"""),"-")</f>
        <v>-</v>
      </c>
      <c r="L15" s="14" t="str">
        <f ca="1">IFERROR(__xludf.DUMMYFUNCTION("""COMPUTED_VALUE"""),"-")</f>
        <v>-</v>
      </c>
      <c r="M15" s="14" t="str">
        <f ca="1">IFERROR(__xludf.DUMMYFUNCTION("""COMPUTED_VALUE"""),"-")</f>
        <v>-</v>
      </c>
      <c r="N15" s="14" t="str">
        <f ca="1">IFERROR(__xludf.DUMMYFUNCTION("""COMPUTED_VALUE"""),"-")</f>
        <v>-</v>
      </c>
      <c r="O15" s="14">
        <f ca="1">IFERROR(__xludf.DUMMYFUNCTION("""COMPUTED_VALUE"""),26333366)</f>
        <v>26333366</v>
      </c>
      <c r="P15" s="14" t="str">
        <f ca="1">IFERROR(__xludf.DUMMYFUNCTION("""COMPUTED_VALUE"""),"simon@minbolighandel.dk")</f>
        <v>simon@minbolighandel.dk</v>
      </c>
      <c r="Q15" s="15" t="str">
        <f ca="1">IFERROR(__xludf.DUMMYFUNCTION("""COMPUTED_VALUE"""),"https://www.boliga.dk/maegler/29093")</f>
        <v>https://www.boliga.dk/maegler/29093</v>
      </c>
      <c r="R15" s="14" t="str">
        <f ca="1">IFERROR(__xludf.DUMMYFUNCTION("""COMPUTED_VALUE"""),"-")</f>
        <v>-</v>
      </c>
      <c r="S15" s="14" t="str">
        <f ca="1">IFERROR(__xludf.DUMMYFUNCTION("""COMPUTED_VALUE"""),"-")</f>
        <v>-</v>
      </c>
      <c r="T15" s="14" t="str">
        <f ca="1">IFERROR(__xludf.DUMMYFUNCTION("""COMPUTED_VALUE"""),"-")</f>
        <v>-</v>
      </c>
      <c r="U15" s="14" t="str">
        <f ca="1">IFERROR(__xludf.DUMMYFUNCTION("""COMPUTED_VALUE"""),"-")</f>
        <v>-</v>
      </c>
      <c r="V15" s="14" t="str">
        <f ca="1">IFERROR(__xludf.DUMMYFUNCTION("""COMPUTED_VALUE"""),"-")</f>
        <v>-</v>
      </c>
      <c r="W15" s="14" t="str">
        <f ca="1">IFERROR(__xludf.DUMMYFUNCTION("""COMPUTED_VALUE"""),"-")</f>
        <v>-</v>
      </c>
      <c r="X15" s="14" t="str">
        <f ca="1">IFERROR(__xludf.DUMMYFUNCTION("""COMPUTED_VALUE"""),"-")</f>
        <v>-</v>
      </c>
      <c r="Y15" s="14" t="str">
        <f ca="1">IFERROR(__xludf.DUMMYFUNCTION("""COMPUTED_VALUE"""),"ja")</f>
        <v>ja</v>
      </c>
      <c r="Z15" s="14"/>
      <c r="AA15" s="14"/>
      <c r="AB15" s="14" t="str">
        <f ca="1">IFERROR(__xludf.DUMMYFUNCTION("""COMPUTED_VALUE"""),"x")</f>
        <v>x</v>
      </c>
      <c r="AC15" s="14" t="str">
        <f ca="1">IFERROR(__xludf.DUMMYFUNCTION("""COMPUTED_VALUE"""),"x")</f>
        <v>x</v>
      </c>
    </row>
    <row r="16" spans="1:30" ht="15.75" customHeight="1" x14ac:dyDescent="0.25">
      <c r="A16" s="14" t="str">
        <f ca="1">IFERROR(__xludf.DUMMYFUNCTION("""COMPUTED_VALUE"""),"Camilla")</f>
        <v>Camilla</v>
      </c>
      <c r="B16" s="14" t="str">
        <f ca="1">IFERROR(__xludf.DUMMYFUNCTION("""COMPUTED_VALUE"""),"Min Bolighandel Viby Sjælland")</f>
        <v>Min Bolighandel Viby Sjælland</v>
      </c>
      <c r="C16" s="14">
        <f ca="1">IFERROR(__xludf.DUMMYFUNCTION("""COMPUTED_VALUE"""),30244265)</f>
        <v>30244265</v>
      </c>
      <c r="D16" s="14" t="str">
        <f ca="1">IFERROR(__xludf.DUMMYFUNCTION("""COMPUTED_VALUE"""),"MG-SJ: 3.499,-")</f>
        <v>MG-SJ: 3.499,-</v>
      </c>
      <c r="E16" s="14">
        <f ca="1">IFERROR(__xludf.DUMMYFUNCTION("""COMPUTED_VALUE"""),1202)</f>
        <v>1202</v>
      </c>
      <c r="F16" s="14" t="str">
        <f ca="1">IFERROR(__xludf.DUMMYFUNCTION("""COMPUTED_VALUE"""),"Arthur Nielsen")</f>
        <v>Arthur Nielsen</v>
      </c>
      <c r="G16" s="14" t="str">
        <f ca="1">IFERROR(__xludf.DUMMYFUNCTION("""COMPUTED_VALUE"""),"arthur@minbolighandel.dk")</f>
        <v>arthur@minbolighandel.dk</v>
      </c>
      <c r="H16" s="14">
        <f ca="1">IFERROR(__xludf.DUMMYFUNCTION("""COMPUTED_VALUE"""),21436659)</f>
        <v>21436659</v>
      </c>
      <c r="I16" s="14" t="str">
        <f ca="1">IFERROR(__xludf.DUMMYFUNCTION("""COMPUTED_VALUE"""),"-")</f>
        <v>-</v>
      </c>
      <c r="J16" s="14" t="str">
        <f ca="1">IFERROR(__xludf.DUMMYFUNCTION("""COMPUTED_VALUE"""),"-")</f>
        <v>-</v>
      </c>
      <c r="K16" s="14" t="str">
        <f ca="1">IFERROR(__xludf.DUMMYFUNCTION("""COMPUTED_VALUE"""),"-")</f>
        <v>-</v>
      </c>
      <c r="L16" s="14" t="str">
        <f ca="1">IFERROR(__xludf.DUMMYFUNCTION("""COMPUTED_VALUE"""),"-")</f>
        <v>-</v>
      </c>
      <c r="M16" s="14" t="str">
        <f ca="1">IFERROR(__xludf.DUMMYFUNCTION("""COMPUTED_VALUE"""),"-")</f>
        <v>-</v>
      </c>
      <c r="N16" s="14" t="str">
        <f ca="1">IFERROR(__xludf.DUMMYFUNCTION("""COMPUTED_VALUE"""),"-")</f>
        <v>-</v>
      </c>
      <c r="O16" s="14">
        <f ca="1">IFERROR(__xludf.DUMMYFUNCTION("""COMPUTED_VALUE"""),46190080)</f>
        <v>46190080</v>
      </c>
      <c r="P16" s="14" t="str">
        <f ca="1">IFERROR(__xludf.DUMMYFUNCTION("""COMPUTED_VALUE"""),"ja@minbolighandel.dk")</f>
        <v>ja@minbolighandel.dk</v>
      </c>
      <c r="Q16" s="15" t="str">
        <f ca="1">IFERROR(__xludf.DUMMYFUNCTION("""COMPUTED_VALUE"""),"https://www.boliga.dk/maegler/27891")</f>
        <v>https://www.boliga.dk/maegler/27891</v>
      </c>
      <c r="R16" s="14" t="str">
        <f ca="1">IFERROR(__xludf.DUMMYFUNCTION("""COMPUTED_VALUE"""),"-")</f>
        <v>-</v>
      </c>
      <c r="S16" s="14" t="str">
        <f ca="1">IFERROR(__xludf.DUMMYFUNCTION("""COMPUTED_VALUE"""),"-")</f>
        <v>-</v>
      </c>
      <c r="T16" s="14" t="str">
        <f ca="1">IFERROR(__xludf.DUMMYFUNCTION("""COMPUTED_VALUE"""),"-")</f>
        <v>-</v>
      </c>
      <c r="U16" s="14">
        <f ca="1">IFERROR(__xludf.DUMMYFUNCTION("""COMPUTED_VALUE"""),1)</f>
        <v>1</v>
      </c>
      <c r="V16" s="14">
        <f ca="1">IFERROR(__xludf.DUMMYFUNCTION("""COMPUTED_VALUE"""),4130)</f>
        <v>4130</v>
      </c>
      <c r="W16" s="14">
        <f ca="1">IFERROR(__xludf.DUMMYFUNCTION("""COMPUTED_VALUE"""),3)</f>
        <v>3</v>
      </c>
      <c r="X16" s="14" t="str">
        <f ca="1">IFERROR(__xludf.DUMMYFUNCTION("""COMPUTED_VALUE"""),"4760, 4000, 4130")</f>
        <v>4760, 4000, 4130</v>
      </c>
      <c r="Y16" s="14" t="str">
        <f ca="1">IFERROR(__xludf.DUMMYFUNCTION("""COMPUTED_VALUE"""),"ja")</f>
        <v>ja</v>
      </c>
      <c r="Z16" s="14" t="str">
        <f ca="1">IFERROR(__xludf.DUMMYFUNCTION("""COMPUTED_VALUE"""),"Svar på SMS fra Arthur")</f>
        <v>Svar på SMS fra Arthur</v>
      </c>
      <c r="AA16" s="14"/>
      <c r="AB16" s="14" t="str">
        <f ca="1">IFERROR(__xludf.DUMMYFUNCTION("""COMPUTED_VALUE"""),"x")</f>
        <v>x</v>
      </c>
      <c r="AC16" s="14" t="str">
        <f ca="1">IFERROR(__xludf.DUMMYFUNCTION("""COMPUTED_VALUE"""),"x")</f>
        <v>x</v>
      </c>
    </row>
    <row r="17" spans="1:29" ht="15.75" customHeight="1" x14ac:dyDescent="0.25">
      <c r="A17" s="14" t="str">
        <f ca="1">IFERROR(__xludf.DUMMYFUNCTION("""COMPUTED_VALUE"""),"Camilla")</f>
        <v>Camilla</v>
      </c>
      <c r="B17" s="14" t="str">
        <f ca="1">IFERROR(__xludf.DUMMYFUNCTION("""COMPUTED_VALUE"""),"Min Bolighandel Ærø")</f>
        <v>Min Bolighandel Ærø</v>
      </c>
      <c r="C17" s="14">
        <f ca="1">IFERROR(__xludf.DUMMYFUNCTION("""COMPUTED_VALUE"""),40009140)</f>
        <v>40009140</v>
      </c>
      <c r="D17" s="14" t="str">
        <f ca="1">IFERROR(__xludf.DUMMYFUNCTION("""COMPUTED_VALUE"""),"MG-JY: 2.499,-")</f>
        <v>MG-JY: 2.499,-</v>
      </c>
      <c r="E17" s="14">
        <f ca="1">IFERROR(__xludf.DUMMYFUNCTION("""COMPUTED_VALUE"""),1201)</f>
        <v>1201</v>
      </c>
      <c r="F17" s="14" t="str">
        <f ca="1">IFERROR(__xludf.DUMMYFUNCTION("""COMPUTED_VALUE"""),"Henrik Simonsen")</f>
        <v>Henrik Simonsen</v>
      </c>
      <c r="G17" s="14" t="str">
        <f ca="1">IFERROR(__xludf.DUMMYFUNCTION("""COMPUTED_VALUE"""),"henrik@minbolighandel.dk")</f>
        <v>henrik@minbolighandel.dk</v>
      </c>
      <c r="H17" s="14"/>
      <c r="I17" s="14" t="str">
        <f ca="1">IFERROR(__xludf.DUMMYFUNCTION("""COMPUTED_VALUE"""),"-")</f>
        <v>-</v>
      </c>
      <c r="J17" s="14" t="str">
        <f ca="1">IFERROR(__xludf.DUMMYFUNCTION("""COMPUTED_VALUE"""),"-")</f>
        <v>-</v>
      </c>
      <c r="K17" s="14" t="str">
        <f ca="1">IFERROR(__xludf.DUMMYFUNCTION("""COMPUTED_VALUE"""),"-")</f>
        <v>-</v>
      </c>
      <c r="L17" s="14" t="str">
        <f ca="1">IFERROR(__xludf.DUMMYFUNCTION("""COMPUTED_VALUE"""),"-")</f>
        <v>-</v>
      </c>
      <c r="M17" s="14" t="str">
        <f ca="1">IFERROR(__xludf.DUMMYFUNCTION("""COMPUTED_VALUE"""),"-")</f>
        <v>-</v>
      </c>
      <c r="N17" s="14" t="str">
        <f ca="1">IFERROR(__xludf.DUMMYFUNCTION("""COMPUTED_VALUE"""),"-")</f>
        <v>-</v>
      </c>
      <c r="O17" s="14">
        <f ca="1">IFERROR(__xludf.DUMMYFUNCTION("""COMPUTED_VALUE"""),20535581)</f>
        <v>20535581</v>
      </c>
      <c r="P17" s="14" t="str">
        <f ca="1">IFERROR(__xludf.DUMMYFUNCTION("""COMPUTED_VALUE"""),"aeroe@minbolighandel.dk")</f>
        <v>aeroe@minbolighandel.dk</v>
      </c>
      <c r="Q17" s="15" t="str">
        <f ca="1">IFERROR(__xludf.DUMMYFUNCTION("""COMPUTED_VALUE"""),"https://www.boliga.dk/maegler/27896")</f>
        <v>https://www.boliga.dk/maegler/27896</v>
      </c>
      <c r="R17" s="14" t="str">
        <f ca="1">IFERROR(__xludf.DUMMYFUNCTION("""COMPUTED_VALUE"""),"-")</f>
        <v>-</v>
      </c>
      <c r="S17" s="14" t="str">
        <f ca="1">IFERROR(__xludf.DUMMYFUNCTION("""COMPUTED_VALUE"""),"-")</f>
        <v>-</v>
      </c>
      <c r="T17" s="14" t="str">
        <f ca="1">IFERROR(__xludf.DUMMYFUNCTION("""COMPUTED_VALUE"""),"-")</f>
        <v>-</v>
      </c>
      <c r="U17" s="14">
        <f ca="1">IFERROR(__xludf.DUMMYFUNCTION("""COMPUTED_VALUE"""),5)</f>
        <v>5</v>
      </c>
      <c r="V17" s="14" t="str">
        <f ca="1">IFERROR(__xludf.DUMMYFUNCTION("""COMPUTED_VALUE"""),"5970, 5985, 5960")</f>
        <v>5970, 5985, 5960</v>
      </c>
      <c r="W17" s="14">
        <f ca="1">IFERROR(__xludf.DUMMYFUNCTION("""COMPUTED_VALUE"""),6)</f>
        <v>6</v>
      </c>
      <c r="X17" s="14" t="str">
        <f ca="1">IFERROR(__xludf.DUMMYFUNCTION("""COMPUTED_VALUE"""),"5960, 5970")</f>
        <v>5960, 5970</v>
      </c>
      <c r="Y17" s="14" t="str">
        <f ca="1">IFERROR(__xludf.DUMMYFUNCTION("""COMPUTED_VALUE"""),"ja")</f>
        <v>ja</v>
      </c>
      <c r="Z17" s="14"/>
      <c r="AA17" s="14"/>
      <c r="AB17" s="14" t="str">
        <f ca="1">IFERROR(__xludf.DUMMYFUNCTION("""COMPUTED_VALUE"""),"x")</f>
        <v>x</v>
      </c>
      <c r="AC17" s="14" t="str">
        <f ca="1">IFERROR(__xludf.DUMMYFUNCTION("""COMPUTED_VALUE"""),"x")</f>
        <v>x</v>
      </c>
    </row>
    <row r="18" spans="1:29" ht="15.75" customHeight="1" x14ac:dyDescent="0.25">
      <c r="A18" s="14" t="str">
        <f ca="1">IFERROR(__xludf.DUMMYFUNCTION("""COMPUTED_VALUE"""),"Camilla")</f>
        <v>Camilla</v>
      </c>
      <c r="B18" s="14" t="str">
        <f ca="1">IFERROR(__xludf.DUMMYFUNCTION("""COMPUTED_VALUE"""),"Robinhus Anne-Marie Eybye")</f>
        <v>Robinhus Anne-Marie Eybye</v>
      </c>
      <c r="C18" s="14">
        <f ca="1">IFERROR(__xludf.DUMMYFUNCTION("""COMPUTED_VALUE"""),26706165)</f>
        <v>26706165</v>
      </c>
      <c r="D18" s="14" t="str">
        <f ca="1">IFERROR(__xludf.DUMMYFUNCTION("""COMPUTED_VALUE"""),"MG-SJ: 3.499,-")</f>
        <v>MG-SJ: 3.499,-</v>
      </c>
      <c r="E18" s="14">
        <f ca="1">IFERROR(__xludf.DUMMYFUNCTION("""COMPUTED_VALUE"""),1202)</f>
        <v>1202</v>
      </c>
      <c r="F18" s="14" t="str">
        <f ca="1">IFERROR(__xludf.DUMMYFUNCTION("""COMPUTED_VALUE"""),"Anne Marie Eybye")</f>
        <v>Anne Marie Eybye</v>
      </c>
      <c r="G18" s="15" t="str">
        <f ca="1">IFERROR(__xludf.DUMMYFUNCTION("""COMPUTED_VALUE"""),"ame@robinhus.dk")</f>
        <v>ame@robinhus.dk</v>
      </c>
      <c r="H18" s="14">
        <f ca="1">IFERROR(__xludf.DUMMYFUNCTION("""COMPUTED_VALUE"""),23648529)</f>
        <v>23648529</v>
      </c>
      <c r="I18" s="14" t="str">
        <f ca="1">IFERROR(__xludf.DUMMYFUNCTION("""COMPUTED_VALUE"""),"-")</f>
        <v>-</v>
      </c>
      <c r="J18" s="14" t="str">
        <f ca="1">IFERROR(__xludf.DUMMYFUNCTION("""COMPUTED_VALUE"""),"-")</f>
        <v>-</v>
      </c>
      <c r="K18" s="14" t="str">
        <f ca="1">IFERROR(__xludf.DUMMYFUNCTION("""COMPUTED_VALUE"""),"-")</f>
        <v>-</v>
      </c>
      <c r="L18" s="14" t="str">
        <f ca="1">IFERROR(__xludf.DUMMYFUNCTION("""COMPUTED_VALUE"""),"-")</f>
        <v>-</v>
      </c>
      <c r="M18" s="14" t="str">
        <f ca="1">IFERROR(__xludf.DUMMYFUNCTION("""COMPUTED_VALUE"""),"-")</f>
        <v>-</v>
      </c>
      <c r="N18" s="14" t="str">
        <f ca="1">IFERROR(__xludf.DUMMYFUNCTION("""COMPUTED_VALUE"""),"-")</f>
        <v>-</v>
      </c>
      <c r="O18" s="14">
        <f ca="1">IFERROR(__xludf.DUMMYFUNCTION("""COMPUTED_VALUE"""),23648529)</f>
        <v>23648529</v>
      </c>
      <c r="P18" s="14" t="str">
        <f ca="1">IFERROR(__xludf.DUMMYFUNCTION("""COMPUTED_VALUE"""),"ame@robinhus.dk")</f>
        <v>ame@robinhus.dk</v>
      </c>
      <c r="Q18" s="15" t="str">
        <f ca="1">IFERROR(__xludf.DUMMYFUNCTION("""COMPUTED_VALUE"""),"https://www.boliga.dk/maegler/27547")</f>
        <v>https://www.boliga.dk/maegler/27547</v>
      </c>
      <c r="R18" s="14" t="str">
        <f ca="1">IFERROR(__xludf.DUMMYFUNCTION("""COMPUTED_VALUE"""),"-")</f>
        <v>-</v>
      </c>
      <c r="S18" s="14" t="str">
        <f ca="1">IFERROR(__xludf.DUMMYFUNCTION("""COMPUTED_VALUE"""),"-")</f>
        <v>-</v>
      </c>
      <c r="T18" s="14" t="str">
        <f ca="1">IFERROR(__xludf.DUMMYFUNCTION("""COMPUTED_VALUE"""),"-")</f>
        <v>-</v>
      </c>
      <c r="U18" s="14">
        <f ca="1">IFERROR(__xludf.DUMMYFUNCTION("""COMPUTED_VALUE"""),3)</f>
        <v>3</v>
      </c>
      <c r="V18" s="14" t="str">
        <f ca="1">IFERROR(__xludf.DUMMYFUNCTION("""COMPUTED_VALUE"""),"2820, 2000, 2600")</f>
        <v>2820, 2000, 2600</v>
      </c>
      <c r="W18" s="14">
        <f ca="1">IFERROR(__xludf.DUMMYFUNCTION("""COMPUTED_VALUE"""),2)</f>
        <v>2</v>
      </c>
      <c r="X18" s="14" t="str">
        <f ca="1">IFERROR(__xludf.DUMMYFUNCTION("""COMPUTED_VALUE"""),"2200, 2820")</f>
        <v>2200, 2820</v>
      </c>
      <c r="Y18" s="14" t="str">
        <f ca="1">IFERROR(__xludf.DUMMYFUNCTION("""COMPUTED_VALUE"""),"ja")</f>
        <v>ja</v>
      </c>
      <c r="Z18" s="14"/>
      <c r="AA18" s="14"/>
      <c r="AB18" s="14" t="str">
        <f ca="1">IFERROR(__xludf.DUMMYFUNCTION("""COMPUTED_VALUE"""),"x")</f>
        <v>x</v>
      </c>
      <c r="AC18" s="14" t="str">
        <f ca="1">IFERROR(__xludf.DUMMYFUNCTION("""COMPUTED_VALUE"""),"x")</f>
        <v>x</v>
      </c>
    </row>
    <row r="19" spans="1:29" ht="12.5" x14ac:dyDescent="0.25">
      <c r="A19" s="14" t="str">
        <f ca="1">IFERROR(__xludf.DUMMYFUNCTION("""COMPUTED_VALUE"""),"Camilla")</f>
        <v>Camilla</v>
      </c>
      <c r="B19" s="14" t="str">
        <f ca="1">IFERROR(__xludf.DUMMYFUNCTION("""COMPUTED_VALUE"""),"Robinhus Christian Garbenfeldt")</f>
        <v>Robinhus Christian Garbenfeldt</v>
      </c>
      <c r="C19" s="14">
        <f ca="1">IFERROR(__xludf.DUMMYFUNCTION("""COMPUTED_VALUE"""),38828762)</f>
        <v>38828762</v>
      </c>
      <c r="D19" s="14" t="str">
        <f ca="1">IFERROR(__xludf.DUMMYFUNCTION("""COMPUTED_VALUE"""),"MG-JY: 2.499,-")</f>
        <v>MG-JY: 2.499,-</v>
      </c>
      <c r="E19" s="14">
        <f ca="1">IFERROR(__xludf.DUMMYFUNCTION("""COMPUTED_VALUE"""),1201)</f>
        <v>1201</v>
      </c>
      <c r="F19" s="14" t="str">
        <f ca="1">IFERROR(__xludf.DUMMYFUNCTION("""COMPUTED_VALUE"""),"Christian Garbenfeldt")</f>
        <v>Christian Garbenfeldt</v>
      </c>
      <c r="G19" s="14" t="str">
        <f ca="1">IFERROR(__xludf.DUMMYFUNCTION("""COMPUTED_VALUE"""),"cga@robinhus.dk")</f>
        <v>cga@robinhus.dk</v>
      </c>
      <c r="H19" s="14">
        <f ca="1">IFERROR(__xludf.DUMMYFUNCTION("""COMPUTED_VALUE"""),51712434)</f>
        <v>51712434</v>
      </c>
      <c r="I19" s="14" t="str">
        <f ca="1">IFERROR(__xludf.DUMMYFUNCTION("""COMPUTED_VALUE"""),"-")</f>
        <v>-</v>
      </c>
      <c r="J19" s="14" t="str">
        <f ca="1">IFERROR(__xludf.DUMMYFUNCTION("""COMPUTED_VALUE"""),"-")</f>
        <v>-</v>
      </c>
      <c r="K19" s="14" t="str">
        <f ca="1">IFERROR(__xludf.DUMMYFUNCTION("""COMPUTED_VALUE"""),"-")</f>
        <v>-</v>
      </c>
      <c r="L19" s="14" t="str">
        <f ca="1">IFERROR(__xludf.DUMMYFUNCTION("""COMPUTED_VALUE"""),"-")</f>
        <v>-</v>
      </c>
      <c r="M19" s="14" t="str">
        <f ca="1">IFERROR(__xludf.DUMMYFUNCTION("""COMPUTED_VALUE"""),"-")</f>
        <v>-</v>
      </c>
      <c r="N19" s="14" t="str">
        <f ca="1">IFERROR(__xludf.DUMMYFUNCTION("""COMPUTED_VALUE"""),"-")</f>
        <v>-</v>
      </c>
      <c r="O19" s="14">
        <f ca="1">IFERROR(__xludf.DUMMYFUNCTION("""COMPUTED_VALUE"""),51712434)</f>
        <v>51712434</v>
      </c>
      <c r="P19" s="14" t="str">
        <f ca="1">IFERROR(__xludf.DUMMYFUNCTION("""COMPUTED_VALUE"""),"mdj@robinhus.dk")</f>
        <v>mdj@robinhus.dk</v>
      </c>
      <c r="Q19" s="15" t="str">
        <f ca="1">IFERROR(__xludf.DUMMYFUNCTION("""COMPUTED_VALUE"""),"https://www.boliga.dk/maegler/27526")</f>
        <v>https://www.boliga.dk/maegler/27526</v>
      </c>
      <c r="R19" s="14" t="str">
        <f ca="1">IFERROR(__xludf.DUMMYFUNCTION("""COMPUTED_VALUE"""),"-")</f>
        <v>-</v>
      </c>
      <c r="S19" s="14" t="str">
        <f ca="1">IFERROR(__xludf.DUMMYFUNCTION("""COMPUTED_VALUE"""),"-")</f>
        <v>-</v>
      </c>
      <c r="T19" s="14" t="str">
        <f ca="1">IFERROR(__xludf.DUMMYFUNCTION("""COMPUTED_VALUE"""),"-")</f>
        <v>-</v>
      </c>
      <c r="U19" s="14">
        <f ca="1">IFERROR(__xludf.DUMMYFUNCTION("""COMPUTED_VALUE"""),20)</f>
        <v>20</v>
      </c>
      <c r="V19" s="14" t="str">
        <f ca="1">IFERROR(__xludf.DUMMYFUNCTION("""COMPUTED_VALUE"""),"5500, 6094, 6070, 7000, 6040, 6000, 6870, 6093, 6818, 7100, 8783, 6630, 6580, 6622, 7173")</f>
        <v>5500, 6094, 6070, 7000, 6040, 6000, 6870, 6093, 6818, 7100, 8783, 6630, 6580, 6622, 7173</v>
      </c>
      <c r="W19" s="14">
        <f ca="1">IFERROR(__xludf.DUMMYFUNCTION("""COMPUTED_VALUE"""),9)</f>
        <v>9</v>
      </c>
      <c r="X19" s="14" t="str">
        <f ca="1">IFERROR(__xludf.DUMMYFUNCTION("""COMPUTED_VALUE"""),"8700, 6000, 7000")</f>
        <v>8700, 6000, 7000</v>
      </c>
      <c r="Y19" s="14" t="str">
        <f ca="1">IFERROR(__xludf.DUMMYFUNCTION("""COMPUTED_VALUE"""),"ja")</f>
        <v>ja</v>
      </c>
      <c r="Z19" s="14"/>
      <c r="AA19" s="14"/>
      <c r="AB19" s="14" t="str">
        <f ca="1">IFERROR(__xludf.DUMMYFUNCTION("""COMPUTED_VALUE"""),"x")</f>
        <v>x</v>
      </c>
      <c r="AC19" s="14" t="str">
        <f ca="1">IFERROR(__xludf.DUMMYFUNCTION("""COMPUTED_VALUE"""),"x")</f>
        <v>x</v>
      </c>
    </row>
    <row r="20" spans="1:29" ht="12.5" x14ac:dyDescent="0.25">
      <c r="A20" s="14" t="str">
        <f ca="1">IFERROR(__xludf.DUMMYFUNCTION("""COMPUTED_VALUE"""),"Camilla")</f>
        <v>Camilla</v>
      </c>
      <c r="B20" s="14" t="str">
        <f ca="1">IFERROR(__xludf.DUMMYFUNCTION("""COMPUTED_VALUE"""),"Robinhus Henrik Andersen")</f>
        <v>Robinhus Henrik Andersen</v>
      </c>
      <c r="C20" s="14">
        <f ca="1">IFERROR(__xludf.DUMMYFUNCTION("""COMPUTED_VALUE"""),37276251)</f>
        <v>37276251</v>
      </c>
      <c r="D20" s="14" t="str">
        <f ca="1">IFERROR(__xludf.DUMMYFUNCTION("""COMPUTED_VALUE"""),"MG-JY: 2.499,-")</f>
        <v>MG-JY: 2.499,-</v>
      </c>
      <c r="E20" s="14">
        <f ca="1">IFERROR(__xludf.DUMMYFUNCTION("""COMPUTED_VALUE"""),1201)</f>
        <v>1201</v>
      </c>
      <c r="F20" s="14" t="str">
        <f ca="1">IFERROR(__xludf.DUMMYFUNCTION("""COMPUTED_VALUE"""),"Henrik Andersen")</f>
        <v>Henrik Andersen</v>
      </c>
      <c r="G20" s="14" t="str">
        <f ca="1">IFERROR(__xludf.DUMMYFUNCTION("""COMPUTED_VALUE"""),"han@robinhus.dk")</f>
        <v>han@robinhus.dk</v>
      </c>
      <c r="H20" s="14">
        <f ca="1">IFERROR(__xludf.DUMMYFUNCTION("""COMPUTED_VALUE"""),51917077)</f>
        <v>51917077</v>
      </c>
      <c r="I20" s="14" t="str">
        <f ca="1">IFERROR(__xludf.DUMMYFUNCTION("""COMPUTED_VALUE"""),"-")</f>
        <v>-</v>
      </c>
      <c r="J20" s="14" t="str">
        <f ca="1">IFERROR(__xludf.DUMMYFUNCTION("""COMPUTED_VALUE"""),"-")</f>
        <v>-</v>
      </c>
      <c r="K20" s="14" t="str">
        <f ca="1">IFERROR(__xludf.DUMMYFUNCTION("""COMPUTED_VALUE"""),"-")</f>
        <v>-</v>
      </c>
      <c r="L20" s="14" t="str">
        <f ca="1">IFERROR(__xludf.DUMMYFUNCTION("""COMPUTED_VALUE"""),"-")</f>
        <v>-</v>
      </c>
      <c r="M20" s="14" t="str">
        <f ca="1">IFERROR(__xludf.DUMMYFUNCTION("""COMPUTED_VALUE"""),"-")</f>
        <v>-</v>
      </c>
      <c r="N20" s="14" t="str">
        <f ca="1">IFERROR(__xludf.DUMMYFUNCTION("""COMPUTED_VALUE"""),"-")</f>
        <v>-</v>
      </c>
      <c r="O20" s="14">
        <f ca="1">IFERROR(__xludf.DUMMYFUNCTION("""COMPUTED_VALUE"""),51917077)</f>
        <v>51917077</v>
      </c>
      <c r="P20" s="14" t="str">
        <f ca="1">IFERROR(__xludf.DUMMYFUNCTION("""COMPUTED_VALUE"""),"han@robinhus.dk")</f>
        <v>han@robinhus.dk</v>
      </c>
      <c r="Q20" s="15" t="str">
        <f ca="1">IFERROR(__xludf.DUMMYFUNCTION("""COMPUTED_VALUE"""),"https://www.boliga.dk/maegler/27537")</f>
        <v>https://www.boliga.dk/maegler/27537</v>
      </c>
      <c r="R20" s="14" t="str">
        <f ca="1">IFERROR(__xludf.DUMMYFUNCTION("""COMPUTED_VALUE"""),"-")</f>
        <v>-</v>
      </c>
      <c r="S20" s="14" t="str">
        <f ca="1">IFERROR(__xludf.DUMMYFUNCTION("""COMPUTED_VALUE"""),"-")</f>
        <v>-</v>
      </c>
      <c r="T20" s="14" t="str">
        <f ca="1">IFERROR(__xludf.DUMMYFUNCTION("""COMPUTED_VALUE"""),"-")</f>
        <v>-</v>
      </c>
      <c r="U20" s="14">
        <f ca="1">IFERROR(__xludf.DUMMYFUNCTION("""COMPUTED_VALUE"""),26)</f>
        <v>26</v>
      </c>
      <c r="V20" s="14" t="str">
        <f ca="1">IFERROR(__xludf.DUMMYFUNCTION("""COMPUTED_VALUE"""),"4460, 4400, 4270, 4200, 4281, 4420, 4470, 4450, 4534, 4593, 4291")</f>
        <v>4460, 4400, 4270, 4200, 4281, 4420, 4470, 4450, 4534, 4593, 4291</v>
      </c>
      <c r="W20" s="14">
        <f ca="1">IFERROR(__xludf.DUMMYFUNCTION("""COMPUTED_VALUE"""),21)</f>
        <v>21</v>
      </c>
      <c r="X20" s="14" t="str">
        <f ca="1">IFERROR(__xludf.DUMMYFUNCTION("""COMPUTED_VALUE"""),"4400, 4281, 4540, 4293, 4480, 4440, 4593, 4591")</f>
        <v>4400, 4281, 4540, 4293, 4480, 4440, 4593, 4591</v>
      </c>
      <c r="Y20" s="14" t="str">
        <f ca="1">IFERROR(__xludf.DUMMYFUNCTION("""COMPUTED_VALUE"""),"ja")</f>
        <v>ja</v>
      </c>
      <c r="Z20" s="14"/>
      <c r="AA20" s="14"/>
      <c r="AB20" s="14" t="str">
        <f ca="1">IFERROR(__xludf.DUMMYFUNCTION("""COMPUTED_VALUE"""),"x")</f>
        <v>x</v>
      </c>
      <c r="AC20" s="14" t="str">
        <f ca="1">IFERROR(__xludf.DUMMYFUNCTION("""COMPUTED_VALUE"""),"x")</f>
        <v>x</v>
      </c>
    </row>
    <row r="21" spans="1:29" ht="12.5" x14ac:dyDescent="0.25">
      <c r="A21" s="14" t="str">
        <f ca="1">IFERROR(__xludf.DUMMYFUNCTION("""COMPUTED_VALUE"""),"Camilla")</f>
        <v>Camilla</v>
      </c>
      <c r="B21" s="14" t="str">
        <f ca="1">IFERROR(__xludf.DUMMYFUNCTION("""COMPUTED_VALUE"""),"Robinhus Lilian Drikkjær")</f>
        <v>Robinhus Lilian Drikkjær</v>
      </c>
      <c r="C21" s="14">
        <f ca="1">IFERROR(__xludf.DUMMYFUNCTION("""COMPUTED_VALUE"""),40498567)</f>
        <v>40498567</v>
      </c>
      <c r="D21" s="14" t="str">
        <f ca="1">IFERROR(__xludf.DUMMYFUNCTION("""COMPUTED_VALUE"""),"MG-JY: 2.499,-")</f>
        <v>MG-JY: 2.499,-</v>
      </c>
      <c r="E21" s="14">
        <f ca="1">IFERROR(__xludf.DUMMYFUNCTION("""COMPUTED_VALUE"""),1201)</f>
        <v>1201</v>
      </c>
      <c r="F21" s="14" t="str">
        <f ca="1">IFERROR(__xludf.DUMMYFUNCTION("""COMPUTED_VALUE"""),"Lilian Drikkjær")</f>
        <v>Lilian Drikkjær</v>
      </c>
      <c r="G21" s="14" t="str">
        <f ca="1">IFERROR(__xludf.DUMMYFUNCTION("""COMPUTED_VALUE"""),"ldr@bedreboligsalg.dk")</f>
        <v>ldr@bedreboligsalg.dk</v>
      </c>
      <c r="H21" s="14">
        <f ca="1">IFERROR(__xludf.DUMMYFUNCTION("""COMPUTED_VALUE"""),60788887)</f>
        <v>60788887</v>
      </c>
      <c r="I21" s="14"/>
      <c r="J21" s="14" t="str">
        <f ca="1">IFERROR(__xludf.DUMMYFUNCTION("""COMPUTED_VALUE"""),"-")</f>
        <v>-</v>
      </c>
      <c r="K21" s="14" t="str">
        <f ca="1">IFERROR(__xludf.DUMMYFUNCTION("""COMPUTED_VALUE"""),"-")</f>
        <v>-</v>
      </c>
      <c r="L21" s="14" t="str">
        <f ca="1">IFERROR(__xludf.DUMMYFUNCTION("""COMPUTED_VALUE"""),"-")</f>
        <v>-</v>
      </c>
      <c r="M21" s="14" t="str">
        <f ca="1">IFERROR(__xludf.DUMMYFUNCTION("""COMPUTED_VALUE"""),"-")</f>
        <v>-</v>
      </c>
      <c r="N21" s="14" t="str">
        <f ca="1">IFERROR(__xludf.DUMMYFUNCTION("""COMPUTED_VALUE"""),"-")</f>
        <v>-</v>
      </c>
      <c r="O21" s="14">
        <f ca="1">IFERROR(__xludf.DUMMYFUNCTION("""COMPUTED_VALUE"""),60788887)</f>
        <v>60788887</v>
      </c>
      <c r="P21" s="14" t="str">
        <f ca="1">IFERROR(__xludf.DUMMYFUNCTION("""COMPUTED_VALUE"""),"ldr@bedreboligsalg.dk")</f>
        <v>ldr@bedreboligsalg.dk</v>
      </c>
      <c r="Q21" s="15" t="str">
        <f ca="1">IFERROR(__xludf.DUMMYFUNCTION("""COMPUTED_VALUE"""),"https://www.boliga.dk/maegler/27525")</f>
        <v>https://www.boliga.dk/maegler/27525</v>
      </c>
      <c r="R21" s="14" t="str">
        <f ca="1">IFERROR(__xludf.DUMMYFUNCTION("""COMPUTED_VALUE"""),"-")</f>
        <v>-</v>
      </c>
      <c r="S21" s="14" t="str">
        <f ca="1">IFERROR(__xludf.DUMMYFUNCTION("""COMPUTED_VALUE"""),"-")</f>
        <v>-</v>
      </c>
      <c r="T21" s="14" t="str">
        <f ca="1">IFERROR(__xludf.DUMMYFUNCTION("""COMPUTED_VALUE"""),"-")</f>
        <v>-</v>
      </c>
      <c r="U21" s="14">
        <f ca="1">IFERROR(__xludf.DUMMYFUNCTION("""COMPUTED_VALUE"""),23)</f>
        <v>23</v>
      </c>
      <c r="V21" s="14" t="str">
        <f ca="1">IFERROR(__xludf.DUMMYFUNCTION("""COMPUTED_VALUE"""),"5592, 5474, 5270, 5450, 6100, 5690, 6300, 7130, 6230, 6200, 6430, 5792, 6270, 6280, 6520, 8800, 9632")</f>
        <v>5592, 5474, 5270, 5450, 6100, 5690, 6300, 7130, 6230, 6200, 6430, 5792, 6270, 6280, 6520, 8800, 9632</v>
      </c>
      <c r="W21" s="14">
        <f ca="1">IFERROR(__xludf.DUMMYFUNCTION("""COMPUTED_VALUE"""),12)</f>
        <v>12</v>
      </c>
      <c r="X21" s="14" t="str">
        <f ca="1">IFERROR(__xludf.DUMMYFUNCTION("""COMPUTED_VALUE"""),"6300, 5250, 6270, 5474, 6430, 6330, 6510, 5240, 6200, 5560, 5690, 6535")</f>
        <v>6300, 5250, 6270, 5474, 6430, 6330, 6510, 5240, 6200, 5560, 5690, 6535</v>
      </c>
      <c r="Y21" s="14" t="str">
        <f ca="1">IFERROR(__xludf.DUMMYFUNCTION("""COMPUTED_VALUE"""),"ja")</f>
        <v>ja</v>
      </c>
      <c r="Z21" s="14"/>
      <c r="AA21" s="14"/>
      <c r="AB21" s="14" t="str">
        <f ca="1">IFERROR(__xludf.DUMMYFUNCTION("""COMPUTED_VALUE"""),"x")</f>
        <v>x</v>
      </c>
      <c r="AC21" s="14" t="str">
        <f ca="1">IFERROR(__xludf.DUMMYFUNCTION("""COMPUTED_VALUE"""),"x")</f>
        <v>x</v>
      </c>
    </row>
    <row r="22" spans="1:29" ht="12.5" x14ac:dyDescent="0.25">
      <c r="A22" s="14" t="str">
        <f ca="1">IFERROR(__xludf.DUMMYFUNCTION("""COMPUTED_VALUE"""),"Camilla")</f>
        <v>Camilla</v>
      </c>
      <c r="B22" s="14" t="str">
        <f ca="1">IFERROR(__xludf.DUMMYFUNCTION("""COMPUTED_VALUE"""),"Robinhus Århus")</f>
        <v>Robinhus Århus</v>
      </c>
      <c r="C22" s="14">
        <f ca="1">IFERROR(__xludf.DUMMYFUNCTION("""COMPUTED_VALUE"""),30867645)</f>
        <v>30867645</v>
      </c>
      <c r="D22" s="14" t="str">
        <f ca="1">IFERROR(__xludf.DUMMYFUNCTION("""COMPUTED_VALUE"""),"MG-JY: 2.499,-")</f>
        <v>MG-JY: 2.499,-</v>
      </c>
      <c r="E22" s="14">
        <f ca="1">IFERROR(__xludf.DUMMYFUNCTION("""COMPUTED_VALUE"""),1201)</f>
        <v>1201</v>
      </c>
      <c r="F22" s="14" t="str">
        <f ca="1">IFERROR(__xludf.DUMMYFUNCTION("""COMPUTED_VALUE"""),"Marianne Skovbogaard")</f>
        <v>Marianne Skovbogaard</v>
      </c>
      <c r="G22" s="14" t="str">
        <f ca="1">IFERROR(__xludf.DUMMYFUNCTION("""COMPUTED_VALUE"""),"msk@robinhus.dk")</f>
        <v>msk@robinhus.dk</v>
      </c>
      <c r="H22" s="14">
        <f ca="1">IFERROR(__xludf.DUMMYFUNCTION("""COMPUTED_VALUE"""),50557605)</f>
        <v>50557605</v>
      </c>
      <c r="I22" s="14" t="str">
        <f ca="1">IFERROR(__xludf.DUMMYFUNCTION("""COMPUTED_VALUE"""),"-")</f>
        <v>-</v>
      </c>
      <c r="J22" s="14" t="str">
        <f ca="1">IFERROR(__xludf.DUMMYFUNCTION("""COMPUTED_VALUE"""),"-")</f>
        <v>-</v>
      </c>
      <c r="K22" s="14" t="str">
        <f ca="1">IFERROR(__xludf.DUMMYFUNCTION("""COMPUTED_VALUE"""),"-")</f>
        <v>-</v>
      </c>
      <c r="L22" s="14" t="str">
        <f ca="1">IFERROR(__xludf.DUMMYFUNCTION("""COMPUTED_VALUE"""),"-")</f>
        <v>-</v>
      </c>
      <c r="M22" s="14" t="str">
        <f ca="1">IFERROR(__xludf.DUMMYFUNCTION("""COMPUTED_VALUE"""),"-")</f>
        <v>-</v>
      </c>
      <c r="N22" s="14" t="str">
        <f ca="1">IFERROR(__xludf.DUMMYFUNCTION("""COMPUTED_VALUE"""),"-")</f>
        <v>-</v>
      </c>
      <c r="O22" s="14" t="str">
        <f ca="1">IFERROR(__xludf.DUMMYFUNCTION("""COMPUTED_VALUE"""),"50 55 76 05")</f>
        <v>50 55 76 05</v>
      </c>
      <c r="P22" s="14" t="str">
        <f ca="1">IFERROR(__xludf.DUMMYFUNCTION("""COMPUTED_VALUE"""),"msk@robinhus.dk")</f>
        <v>msk@robinhus.dk</v>
      </c>
      <c r="Q22" s="15" t="str">
        <f ca="1">IFERROR(__xludf.DUMMYFUNCTION("""COMPUTED_VALUE"""),"https://www.boliga.dk/maegler/29095")</f>
        <v>https://www.boliga.dk/maegler/29095</v>
      </c>
      <c r="R22" s="14" t="str">
        <f ca="1">IFERROR(__xludf.DUMMYFUNCTION("""COMPUTED_VALUE"""),"-")</f>
        <v>-</v>
      </c>
      <c r="S22" s="14" t="str">
        <f ca="1">IFERROR(__xludf.DUMMYFUNCTION("""COMPUTED_VALUE"""),"-")</f>
        <v>-</v>
      </c>
      <c r="T22" s="14" t="str">
        <f ca="1">IFERROR(__xludf.DUMMYFUNCTION("""COMPUTED_VALUE"""),"-")</f>
        <v>-</v>
      </c>
      <c r="U22" s="14">
        <f ca="1">IFERROR(__xludf.DUMMYFUNCTION("""COMPUTED_VALUE"""),3)</f>
        <v>3</v>
      </c>
      <c r="V22" s="14" t="str">
        <f ca="1">IFERROR(__xludf.DUMMYFUNCTION("""COMPUTED_VALUE"""),"7600, 6880, 6950")</f>
        <v>7600, 6880, 6950</v>
      </c>
      <c r="W22" s="14">
        <f ca="1">IFERROR(__xludf.DUMMYFUNCTION("""COMPUTED_VALUE"""),4)</f>
        <v>4</v>
      </c>
      <c r="X22" s="14" t="str">
        <f ca="1">IFERROR(__xludf.DUMMYFUNCTION("""COMPUTED_VALUE"""),"6990, 7620, 7860")</f>
        <v>6990, 7620, 7860</v>
      </c>
      <c r="Y22" s="14" t="str">
        <f ca="1">IFERROR(__xludf.DUMMYFUNCTION("""COMPUTED_VALUE"""),"ja")</f>
        <v>ja</v>
      </c>
      <c r="Z22" s="14"/>
      <c r="AA22" s="14"/>
      <c r="AB22" s="14" t="str">
        <f ca="1">IFERROR(__xludf.DUMMYFUNCTION("""COMPUTED_VALUE"""),"x")</f>
        <v>x</v>
      </c>
      <c r="AC22" s="14" t="str">
        <f ca="1">IFERROR(__xludf.DUMMYFUNCTION("""COMPUTED_VALUE"""),"x")</f>
        <v>x</v>
      </c>
    </row>
    <row r="23" spans="1:29" ht="12.5" x14ac:dyDescent="0.25">
      <c r="A23" s="14" t="str">
        <f ca="1">IFERROR(__xludf.DUMMYFUNCTION("""COMPUTED_VALUE"""),"Camilla")</f>
        <v>Camilla</v>
      </c>
      <c r="B23" s="14" t="str">
        <f ca="1">IFERROR(__xludf.DUMMYFUNCTION("""COMPUTED_VALUE"""),"Robinhus Maiken Kierkegaard")</f>
        <v>Robinhus Maiken Kierkegaard</v>
      </c>
      <c r="C23" s="14">
        <f ca="1">IFERROR(__xludf.DUMMYFUNCTION("""COMPUTED_VALUE"""),31908493)</f>
        <v>31908493</v>
      </c>
      <c r="D23" s="14" t="str">
        <f ca="1">IFERROR(__xludf.DUMMYFUNCTION("""COMPUTED_VALUE"""),"MG-SJ: 3.499,-")</f>
        <v>MG-SJ: 3.499,-</v>
      </c>
      <c r="E23" s="14">
        <f ca="1">IFERROR(__xludf.DUMMYFUNCTION("""COMPUTED_VALUE"""),1202)</f>
        <v>1202</v>
      </c>
      <c r="F23" s="14" t="str">
        <f ca="1">IFERROR(__xludf.DUMMYFUNCTION("""COMPUTED_VALUE"""),"Maiken Kierkegaard")</f>
        <v>Maiken Kierkegaard</v>
      </c>
      <c r="G23" s="14" t="str">
        <f ca="1">IFERROR(__xludf.DUMMYFUNCTION("""COMPUTED_VALUE"""),"mak@robinhus.dk")</f>
        <v>mak@robinhus.dk</v>
      </c>
      <c r="H23" s="14">
        <f ca="1">IFERROR(__xludf.DUMMYFUNCTION("""COMPUTED_VALUE"""),53802299)</f>
        <v>53802299</v>
      </c>
      <c r="I23" s="14" t="str">
        <f ca="1">IFERROR(__xludf.DUMMYFUNCTION("""COMPUTED_VALUE"""),"-")</f>
        <v>-</v>
      </c>
      <c r="J23" s="14" t="str">
        <f ca="1">IFERROR(__xludf.DUMMYFUNCTION("""COMPUTED_VALUE"""),"-")</f>
        <v>-</v>
      </c>
      <c r="K23" s="14" t="str">
        <f ca="1">IFERROR(__xludf.DUMMYFUNCTION("""COMPUTED_VALUE"""),"-")</f>
        <v>-</v>
      </c>
      <c r="L23" s="14" t="str">
        <f ca="1">IFERROR(__xludf.DUMMYFUNCTION("""COMPUTED_VALUE"""),"-")</f>
        <v>-</v>
      </c>
      <c r="M23" s="14" t="str">
        <f ca="1">IFERROR(__xludf.DUMMYFUNCTION("""COMPUTED_VALUE"""),"-")</f>
        <v>-</v>
      </c>
      <c r="N23" s="14" t="str">
        <f ca="1">IFERROR(__xludf.DUMMYFUNCTION("""COMPUTED_VALUE"""),"-")</f>
        <v>-</v>
      </c>
      <c r="O23" s="14">
        <f ca="1">IFERROR(__xludf.DUMMYFUNCTION("""COMPUTED_VALUE"""),53802299)</f>
        <v>53802299</v>
      </c>
      <c r="P23" s="14" t="str">
        <f ca="1">IFERROR(__xludf.DUMMYFUNCTION("""COMPUTED_VALUE"""),"mak@robinhus.dk")</f>
        <v>mak@robinhus.dk</v>
      </c>
      <c r="Q23" s="15" t="str">
        <f ca="1">IFERROR(__xludf.DUMMYFUNCTION("""COMPUTED_VALUE"""),"https://www.boliga.dk/maegler/27538")</f>
        <v>https://www.boliga.dk/maegler/27538</v>
      </c>
      <c r="R23" s="14" t="str">
        <f ca="1">IFERROR(__xludf.DUMMYFUNCTION("""COMPUTED_VALUE"""),"-")</f>
        <v>-</v>
      </c>
      <c r="S23" s="14" t="str">
        <f ca="1">IFERROR(__xludf.DUMMYFUNCTION("""COMPUTED_VALUE"""),"-")</f>
        <v>-</v>
      </c>
      <c r="T23" s="14" t="str">
        <f ca="1">IFERROR(__xludf.DUMMYFUNCTION("""COMPUTED_VALUE"""),"-")</f>
        <v>-</v>
      </c>
      <c r="U23" s="14">
        <f ca="1">IFERROR(__xludf.DUMMYFUNCTION("""COMPUTED_VALUE"""),10)</f>
        <v>10</v>
      </c>
      <c r="V23" s="14" t="str">
        <f ca="1">IFERROR(__xludf.DUMMYFUNCTION("""COMPUTED_VALUE"""),"4070, 4060, 2630, 4040, 4000, 4300, 4200, 4500")</f>
        <v>4070, 4060, 2630, 4040, 4000, 4300, 4200, 4500</v>
      </c>
      <c r="W23" s="14">
        <f ca="1">IFERROR(__xludf.DUMMYFUNCTION("""COMPUTED_VALUE"""),18)</f>
        <v>18</v>
      </c>
      <c r="X23" s="14" t="str">
        <f ca="1">IFERROR(__xludf.DUMMYFUNCTION("""COMPUTED_VALUE"""),"4300, 4070, 4040, 2630, 4060, 4130, 4320, 4000, 4340, 4560, 4500, 4573")</f>
        <v>4300, 4070, 4040, 2630, 4060, 4130, 4320, 4000, 4340, 4560, 4500, 4573</v>
      </c>
      <c r="Y23" s="14" t="str">
        <f ca="1">IFERROR(__xludf.DUMMYFUNCTION("""COMPUTED_VALUE"""),"ja")</f>
        <v>ja</v>
      </c>
      <c r="Z23" s="14"/>
      <c r="AA23" s="14"/>
      <c r="AB23" s="14" t="str">
        <f ca="1">IFERROR(__xludf.DUMMYFUNCTION("""COMPUTED_VALUE"""),"x")</f>
        <v>x</v>
      </c>
      <c r="AC23" s="14" t="str">
        <f ca="1">IFERROR(__xludf.DUMMYFUNCTION("""COMPUTED_VALUE"""),"x")</f>
        <v>x</v>
      </c>
    </row>
    <row r="24" spans="1:29" ht="12.5" x14ac:dyDescent="0.25">
      <c r="A24" s="14" t="str">
        <f ca="1">IFERROR(__xludf.DUMMYFUNCTION("""COMPUTED_VALUE"""),"Camilla")</f>
        <v>Camilla</v>
      </c>
      <c r="B24" s="14" t="str">
        <f ca="1">IFERROR(__xludf.DUMMYFUNCTION("""COMPUTED_VALUE"""),"Robinhus Nathalie Middelboe")</f>
        <v>Robinhus Nathalie Middelboe</v>
      </c>
      <c r="C24" s="14"/>
      <c r="D24" s="14"/>
      <c r="E24" s="14" t="str">
        <f ca="1">IFERROR(__xludf.DUMMYFUNCTION("""COMPUTED_VALUE"""),"N/A")</f>
        <v>N/A</v>
      </c>
      <c r="F24" s="14" t="str">
        <f ca="1">IFERROR(__xludf.DUMMYFUNCTION("""COMPUTED_VALUE"""),"Nathalie Middelboe")</f>
        <v>Nathalie Middelboe</v>
      </c>
      <c r="G24" s="14"/>
      <c r="H24" s="14"/>
      <c r="I24" s="14" t="str">
        <f ca="1">IFERROR(__xludf.DUMMYFUNCTION("""COMPUTED_VALUE"""),"-")</f>
        <v>-</v>
      </c>
      <c r="J24" s="14" t="str">
        <f ca="1">IFERROR(__xludf.DUMMYFUNCTION("""COMPUTED_VALUE"""),"-")</f>
        <v>-</v>
      </c>
      <c r="K24" s="14" t="str">
        <f ca="1">IFERROR(__xludf.DUMMYFUNCTION("""COMPUTED_VALUE"""),"-")</f>
        <v>-</v>
      </c>
      <c r="L24" s="14" t="str">
        <f ca="1">IFERROR(__xludf.DUMMYFUNCTION("""COMPUTED_VALUE"""),"-")</f>
        <v>-</v>
      </c>
      <c r="M24" s="14" t="str">
        <f ca="1">IFERROR(__xludf.DUMMYFUNCTION("""COMPUTED_VALUE"""),"-")</f>
        <v>-</v>
      </c>
      <c r="N24" s="14" t="str">
        <f ca="1">IFERROR(__xludf.DUMMYFUNCTION("""COMPUTED_VALUE"""),"-")</f>
        <v>-</v>
      </c>
      <c r="O24" s="14">
        <f ca="1">IFERROR(__xludf.DUMMYFUNCTION("""COMPUTED_VALUE"""),51196777)</f>
        <v>51196777</v>
      </c>
      <c r="P24" s="14" t="str">
        <f ca="1">IFERROR(__xludf.DUMMYFUNCTION("""COMPUTED_VALUE"""),"nmi@robinhus.dk")</f>
        <v>nmi@robinhus.dk</v>
      </c>
      <c r="Q24" s="15" t="str">
        <f ca="1">IFERROR(__xludf.DUMMYFUNCTION("""COMPUTED_VALUE"""),"https://www.boliga.dk/maegler/27539")</f>
        <v>https://www.boliga.dk/maegler/27539</v>
      </c>
      <c r="R24" s="14" t="str">
        <f ca="1">IFERROR(__xludf.DUMMYFUNCTION("""COMPUTED_VALUE"""),"-")</f>
        <v>-</v>
      </c>
      <c r="S24" s="14" t="str">
        <f ca="1">IFERROR(__xludf.DUMMYFUNCTION("""COMPUTED_VALUE"""),"-")</f>
        <v>-</v>
      </c>
      <c r="T24" s="14" t="str">
        <f ca="1">IFERROR(__xludf.DUMMYFUNCTION("""COMPUTED_VALUE"""),"-")</f>
        <v>-</v>
      </c>
      <c r="U24" s="14">
        <f ca="1">IFERROR(__xludf.DUMMYFUNCTION("""COMPUTED_VALUE"""),7)</f>
        <v>7</v>
      </c>
      <c r="V24" s="14" t="str">
        <f ca="1">IFERROR(__xludf.DUMMYFUNCTION("""COMPUTED_VALUE"""),"2665, 2670, 2610, 2620, 2660")</f>
        <v>2665, 2670, 2610, 2620, 2660</v>
      </c>
      <c r="W24" s="14">
        <f ca="1">IFERROR(__xludf.DUMMYFUNCTION("""COMPUTED_VALUE"""),18)</f>
        <v>18</v>
      </c>
      <c r="X24" s="14" t="str">
        <f ca="1">IFERROR(__xludf.DUMMYFUNCTION("""COMPUTED_VALUE"""),"2665, 2630, 2640, 2635, 2750, 2670, 2690, 2610, 3630, 4600, 2680, 2791")</f>
        <v>2665, 2630, 2640, 2635, 2750, 2670, 2690, 2610, 3630, 4600, 2680, 2791</v>
      </c>
      <c r="Y24" s="14" t="str">
        <f ca="1">IFERROR(__xludf.DUMMYFUNCTION("""COMPUTED_VALUE"""),"ja")</f>
        <v>ja</v>
      </c>
      <c r="Z24" s="14" t="str">
        <f ca="1">IFERROR(__xludf.DUMMYFUNCTION("""COMPUTED_VALUE"""),"CK kontakt")</f>
        <v>CK kontakt</v>
      </c>
      <c r="AA24" s="14"/>
      <c r="AB24" s="14" t="str">
        <f ca="1">IFERROR(__xludf.DUMMYFUNCTION("""COMPUTED_VALUE"""),"x")</f>
        <v>x</v>
      </c>
      <c r="AC24" s="14" t="str">
        <f ca="1">IFERROR(__xludf.DUMMYFUNCTION("""COMPUTED_VALUE"""),"x")</f>
        <v>x</v>
      </c>
    </row>
    <row r="25" spans="1:29" ht="12.5" x14ac:dyDescent="0.25">
      <c r="A25" s="14" t="str">
        <f ca="1">IFERROR(__xludf.DUMMYFUNCTION("""COMPUTED_VALUE"""),"Camilla")</f>
        <v>Camilla</v>
      </c>
      <c r="B25" s="14" t="str">
        <f ca="1">IFERROR(__xludf.DUMMYFUNCTION("""COMPUTED_VALUE"""),"Robinhus Nikolaj Lindhardt Jensen")</f>
        <v>Robinhus Nikolaj Lindhardt Jensen</v>
      </c>
      <c r="C25" s="14">
        <f ca="1">IFERROR(__xludf.DUMMYFUNCTION("""COMPUTED_VALUE"""),35495975)</f>
        <v>35495975</v>
      </c>
      <c r="D25" s="14" t="str">
        <f ca="1">IFERROR(__xludf.DUMMYFUNCTION("""COMPUTED_VALUE"""),"MG-JY: 2.499,-")</f>
        <v>MG-JY: 2.499,-</v>
      </c>
      <c r="E25" s="14">
        <f ca="1">IFERROR(__xludf.DUMMYFUNCTION("""COMPUTED_VALUE"""),1201)</f>
        <v>1201</v>
      </c>
      <c r="F25" s="14" t="str">
        <f ca="1">IFERROR(__xludf.DUMMYFUNCTION("""COMPUTED_VALUE"""),"Nikolaj Jensen")</f>
        <v>Nikolaj Jensen</v>
      </c>
      <c r="G25" s="14" t="str">
        <f ca="1">IFERROR(__xludf.DUMMYFUNCTION("""COMPUTED_VALUE"""),"nlj@robinhus.dk")</f>
        <v>nlj@robinhus.dk</v>
      </c>
      <c r="H25" s="14">
        <f ca="1">IFERROR(__xludf.DUMMYFUNCTION("""COMPUTED_VALUE"""),26137134)</f>
        <v>26137134</v>
      </c>
      <c r="I25" s="14" t="str">
        <f ca="1">IFERROR(__xludf.DUMMYFUNCTION("""COMPUTED_VALUE"""),"-")</f>
        <v>-</v>
      </c>
      <c r="J25" s="14" t="str">
        <f ca="1">IFERROR(__xludf.DUMMYFUNCTION("""COMPUTED_VALUE"""),"-")</f>
        <v>-</v>
      </c>
      <c r="K25" s="14" t="str">
        <f ca="1">IFERROR(__xludf.DUMMYFUNCTION("""COMPUTED_VALUE"""),"-")</f>
        <v>-</v>
      </c>
      <c r="L25" s="14" t="str">
        <f ca="1">IFERROR(__xludf.DUMMYFUNCTION("""COMPUTED_VALUE"""),"-")</f>
        <v>-</v>
      </c>
      <c r="M25" s="14" t="str">
        <f ca="1">IFERROR(__xludf.DUMMYFUNCTION("""COMPUTED_VALUE"""),"-")</f>
        <v>-</v>
      </c>
      <c r="N25" s="14" t="str">
        <f ca="1">IFERROR(__xludf.DUMMYFUNCTION("""COMPUTED_VALUE"""),"-")</f>
        <v>-</v>
      </c>
      <c r="O25" s="14">
        <f ca="1">IFERROR(__xludf.DUMMYFUNCTION("""COMPUTED_VALUE"""),26137134)</f>
        <v>26137134</v>
      </c>
      <c r="P25" s="14" t="str">
        <f ca="1">IFERROR(__xludf.DUMMYFUNCTION("""COMPUTED_VALUE"""),"nlj@robinhus.dk")</f>
        <v>nlj@robinhus.dk</v>
      </c>
      <c r="Q25" s="15" t="str">
        <f ca="1">IFERROR(__xludf.DUMMYFUNCTION("""COMPUTED_VALUE"""),"https://www.boliga.dk/maegler/27528")</f>
        <v>https://www.boliga.dk/maegler/27528</v>
      </c>
      <c r="R25" s="14" t="str">
        <f ca="1">IFERROR(__xludf.DUMMYFUNCTION("""COMPUTED_VALUE"""),"-")</f>
        <v>-</v>
      </c>
      <c r="S25" s="14" t="str">
        <f ca="1">IFERROR(__xludf.DUMMYFUNCTION("""COMPUTED_VALUE"""),"-")</f>
        <v>-</v>
      </c>
      <c r="T25" s="14" t="str">
        <f ca="1">IFERROR(__xludf.DUMMYFUNCTION("""COMPUTED_VALUE"""),"-")</f>
        <v>-</v>
      </c>
      <c r="U25" s="14">
        <f ca="1">IFERROR(__xludf.DUMMYFUNCTION("""COMPUTED_VALUE"""),11)</f>
        <v>11</v>
      </c>
      <c r="V25" s="14" t="str">
        <f ca="1">IFERROR(__xludf.DUMMYFUNCTION("""COMPUTED_VALUE"""),"7361, 6880, 8860, 8620, 8881, 7470, 8260, 8654")</f>
        <v>7361, 6880, 8860, 8620, 8881, 7470, 8260, 8654</v>
      </c>
      <c r="W25" s="14">
        <f ca="1">IFERROR(__xludf.DUMMYFUNCTION("""COMPUTED_VALUE"""),2)</f>
        <v>2</v>
      </c>
      <c r="X25" s="14" t="str">
        <f ca="1">IFERROR(__xludf.DUMMYFUNCTION("""COMPUTED_VALUE"""),"7400, 8660")</f>
        <v>7400, 8660</v>
      </c>
      <c r="Y25" s="14" t="str">
        <f ca="1">IFERROR(__xludf.DUMMYFUNCTION("""COMPUTED_VALUE"""),"ja")</f>
        <v>ja</v>
      </c>
      <c r="Z25" s="14"/>
      <c r="AA25" s="14"/>
      <c r="AB25" s="14" t="str">
        <f ca="1">IFERROR(__xludf.DUMMYFUNCTION("""COMPUTED_VALUE"""),"x")</f>
        <v>x</v>
      </c>
      <c r="AC25" s="14" t="str">
        <f ca="1">IFERROR(__xludf.DUMMYFUNCTION("""COMPUTED_VALUE"""),"x")</f>
        <v>x</v>
      </c>
    </row>
    <row r="26" spans="1:29" ht="12.5" x14ac:dyDescent="0.25">
      <c r="A26" s="14" t="str">
        <f ca="1">IFERROR(__xludf.DUMMYFUNCTION("""COMPUTED_VALUE"""),"Camilla")</f>
        <v>Camilla</v>
      </c>
      <c r="B26" s="14" t="str">
        <f ca="1">IFERROR(__xludf.DUMMYFUNCTION("""COMPUTED_VALUE"""),"Amager Bolig")</f>
        <v>Amager Bolig</v>
      </c>
      <c r="C26" s="14">
        <f ca="1">IFERROR(__xludf.DUMMYFUNCTION("""COMPUTED_VALUE"""),30910176)</f>
        <v>30910176</v>
      </c>
      <c r="D26" s="14" t="str">
        <f ca="1">IFERROR(__xludf.DUMMYFUNCTION("""COMPUTED_VALUE"""),"MG-SJ: 3.499,-")</f>
        <v>MG-SJ: 3.499,-</v>
      </c>
      <c r="E26" s="14">
        <f ca="1">IFERROR(__xludf.DUMMYFUNCTION("""COMPUTED_VALUE"""),1202)</f>
        <v>1202</v>
      </c>
      <c r="F26" s="14" t="str">
        <f ca="1">IFERROR(__xludf.DUMMYFUNCTION("""COMPUTED_VALUE"""),"Christian Larsen")</f>
        <v>Christian Larsen</v>
      </c>
      <c r="G26" s="14" t="str">
        <f ca="1">IFERROR(__xludf.DUMMYFUNCTION("""COMPUTED_VALUE"""),"cl@amagerbolig.dk")</f>
        <v>cl@amagerbolig.dk</v>
      </c>
      <c r="H26" s="14">
        <f ca="1">IFERROR(__xludf.DUMMYFUNCTION("""COMPUTED_VALUE"""),26156195)</f>
        <v>26156195</v>
      </c>
      <c r="I26" s="14" t="str">
        <f ca="1">IFERROR(__xludf.DUMMYFUNCTION("""COMPUTED_VALUE"""),"Amagerbrogade 275")</f>
        <v>Amagerbrogade 275</v>
      </c>
      <c r="J26" s="14">
        <f ca="1">IFERROR(__xludf.DUMMYFUNCTION("""COMPUTED_VALUE"""),2300)</f>
        <v>2300</v>
      </c>
      <c r="K26" s="14" t="str">
        <f ca="1">IFERROR(__xludf.DUMMYFUNCTION("""COMPUTED_VALUE"""),"København S")</f>
        <v>København S</v>
      </c>
      <c r="L26" s="14" t="str">
        <f ca="1">IFERROR(__xludf.DUMMYFUNCTION("""COMPUTED_VALUE"""),"København")</f>
        <v>København</v>
      </c>
      <c r="M26" s="14" t="str">
        <f ca="1">IFERROR(__xludf.DUMMYFUNCTION("""COMPUTED_VALUE"""),"København By")</f>
        <v>København By</v>
      </c>
      <c r="N26" s="14" t="str">
        <f ca="1">IFERROR(__xludf.DUMMYFUNCTION("""COMPUTED_VALUE"""),"Hovedstaden")</f>
        <v>Hovedstaden</v>
      </c>
      <c r="O26" s="14">
        <f ca="1">IFERROR(__xludf.DUMMYFUNCTION("""COMPUTED_VALUE"""),69808010)</f>
        <v>69808010</v>
      </c>
      <c r="P26" s="14" t="str">
        <f ca="1">IFERROR(__xludf.DUMMYFUNCTION("""COMPUTED_VALUE"""),"pl@amagerbolig.dk")</f>
        <v>pl@amagerbolig.dk</v>
      </c>
      <c r="Q26" s="15" t="str">
        <f ca="1">IFERROR(__xludf.DUMMYFUNCTION("""COMPUTED_VALUE"""),"https://www.boliga.dk/maegler/17119")</f>
        <v>https://www.boliga.dk/maegler/17119</v>
      </c>
      <c r="R26" s="14" t="str">
        <f ca="1">IFERROR(__xludf.DUMMYFUNCTION("""COMPUTED_VALUE"""),"-")</f>
        <v>-</v>
      </c>
      <c r="S26" s="14" t="str">
        <f ca="1">IFERROR(__xludf.DUMMYFUNCTION("""COMPUTED_VALUE"""),"-")</f>
        <v>-</v>
      </c>
      <c r="T26" s="14" t="str">
        <f ca="1">IFERROR(__xludf.DUMMYFUNCTION("""COMPUTED_VALUE"""),"-")</f>
        <v>-</v>
      </c>
      <c r="U26" s="14">
        <f ca="1">IFERROR(__xludf.DUMMYFUNCTION("""COMPUTED_VALUE"""),6)</f>
        <v>6</v>
      </c>
      <c r="V26" s="14" t="str">
        <f ca="1">IFERROR(__xludf.DUMMYFUNCTION("""COMPUTED_VALUE"""),"2300, 2770")</f>
        <v>2300, 2770</v>
      </c>
      <c r="W26" s="14">
        <f ca="1">IFERROR(__xludf.DUMMYFUNCTION("""COMPUTED_VALUE"""),5)</f>
        <v>5</v>
      </c>
      <c r="X26" s="14">
        <f ca="1">IFERROR(__xludf.DUMMYFUNCTION("""COMPUTED_VALUE"""),2300)</f>
        <v>2300</v>
      </c>
      <c r="Y26" s="14" t="str">
        <f ca="1">IFERROR(__xludf.DUMMYFUNCTION("""COMPUTED_VALUE"""),"ja")</f>
        <v>ja</v>
      </c>
      <c r="Z26" s="14"/>
      <c r="AA26" s="14"/>
      <c r="AB26" s="14" t="str">
        <f ca="1">IFERROR(__xludf.DUMMYFUNCTION("""COMPUTED_VALUE"""),"x")</f>
        <v>x</v>
      </c>
      <c r="AC26" s="14" t="str">
        <f ca="1">IFERROR(__xludf.DUMMYFUNCTION("""COMPUTED_VALUE"""),"x")</f>
        <v>x</v>
      </c>
    </row>
    <row r="27" spans="1:29" ht="12.5" x14ac:dyDescent="0.25">
      <c r="A27" s="14" t="str">
        <f ca="1">IFERROR(__xludf.DUMMYFUNCTION("""COMPUTED_VALUE"""),"Camilla")</f>
        <v>Camilla</v>
      </c>
      <c r="B27" s="14" t="str">
        <f ca="1">IFERROR(__xludf.DUMMYFUNCTION("""COMPUTED_VALUE"""),"Amager Bolig ApS, Dragør")</f>
        <v>Amager Bolig ApS, Dragør</v>
      </c>
      <c r="C27" s="14">
        <f ca="1">IFERROR(__xludf.DUMMYFUNCTION("""COMPUTED_VALUE"""),30910176)</f>
        <v>30910176</v>
      </c>
      <c r="D27" s="14" t="str">
        <f ca="1">IFERROR(__xludf.DUMMYFUNCTION("""COMPUTED_VALUE"""),"MG-SJ: 3.499,-")</f>
        <v>MG-SJ: 3.499,-</v>
      </c>
      <c r="E27" s="14">
        <f ca="1">IFERROR(__xludf.DUMMYFUNCTION("""COMPUTED_VALUE"""),1202)</f>
        <v>1202</v>
      </c>
      <c r="F27" s="14" t="str">
        <f ca="1">IFERROR(__xludf.DUMMYFUNCTION("""COMPUTED_VALUE"""),"Christian Larsen")</f>
        <v>Christian Larsen</v>
      </c>
      <c r="G27" s="14" t="str">
        <f ca="1">IFERROR(__xludf.DUMMYFUNCTION("""COMPUTED_VALUE"""),"cl@amagerbolig.dk")</f>
        <v>cl@amagerbolig.dk</v>
      </c>
      <c r="H27" s="14">
        <f ca="1">IFERROR(__xludf.DUMMYFUNCTION("""COMPUTED_VALUE"""),27156195)</f>
        <v>27156195</v>
      </c>
      <c r="I27" s="14" t="str">
        <f ca="1">IFERROR(__xludf.DUMMYFUNCTION("""COMPUTED_VALUE"""),"Strandgade 36")</f>
        <v>Strandgade 36</v>
      </c>
      <c r="J27" s="14">
        <f ca="1">IFERROR(__xludf.DUMMYFUNCTION("""COMPUTED_VALUE"""),2791)</f>
        <v>2791</v>
      </c>
      <c r="K27" s="14" t="str">
        <f ca="1">IFERROR(__xludf.DUMMYFUNCTION("""COMPUTED_VALUE"""),"Dragør")</f>
        <v>Dragør</v>
      </c>
      <c r="L27" s="14" t="str">
        <f ca="1">IFERROR(__xludf.DUMMYFUNCTION("""COMPUTED_VALUE"""),"Dragør")</f>
        <v>Dragør</v>
      </c>
      <c r="M27" s="14" t="str">
        <f ca="1">IFERROR(__xludf.DUMMYFUNCTION("""COMPUTED_VALUE"""),"København By")</f>
        <v>København By</v>
      </c>
      <c r="N27" s="14" t="str">
        <f ca="1">IFERROR(__xludf.DUMMYFUNCTION("""COMPUTED_VALUE"""),"Hovedstaden")</f>
        <v>Hovedstaden</v>
      </c>
      <c r="O27" s="14">
        <f ca="1">IFERROR(__xludf.DUMMYFUNCTION("""COMPUTED_VALUE"""),69808010)</f>
        <v>69808010</v>
      </c>
      <c r="P27" s="14" t="str">
        <f ca="1">IFERROR(__xludf.DUMMYFUNCTION("""COMPUTED_VALUE"""),"epost@amagerbolig.dk")</f>
        <v>epost@amagerbolig.dk</v>
      </c>
      <c r="Q27" s="15" t="str">
        <f ca="1">IFERROR(__xludf.DUMMYFUNCTION("""COMPUTED_VALUE"""),"https://www.boliga.dk/maegler/26901")</f>
        <v>https://www.boliga.dk/maegler/26901</v>
      </c>
      <c r="R27" s="14" t="str">
        <f ca="1">IFERROR(__xludf.DUMMYFUNCTION("""COMPUTED_VALUE"""),"-")</f>
        <v>-</v>
      </c>
      <c r="S27" s="14" t="str">
        <f ca="1">IFERROR(__xludf.DUMMYFUNCTION("""COMPUTED_VALUE"""),"-")</f>
        <v>-</v>
      </c>
      <c r="T27" s="14" t="str">
        <f ca="1">IFERROR(__xludf.DUMMYFUNCTION("""COMPUTED_VALUE"""),"-")</f>
        <v>-</v>
      </c>
      <c r="U27" s="14">
        <f ca="1">IFERROR(__xludf.DUMMYFUNCTION("""COMPUTED_VALUE"""),1)</f>
        <v>1</v>
      </c>
      <c r="V27" s="14">
        <f ca="1">IFERROR(__xludf.DUMMYFUNCTION("""COMPUTED_VALUE"""),2791)</f>
        <v>2791</v>
      </c>
      <c r="W27" s="14">
        <f ca="1">IFERROR(__xludf.DUMMYFUNCTION("""COMPUTED_VALUE"""),1)</f>
        <v>1</v>
      </c>
      <c r="X27" s="14">
        <f ca="1">IFERROR(__xludf.DUMMYFUNCTION("""COMPUTED_VALUE"""),2791)</f>
        <v>2791</v>
      </c>
      <c r="Y27" s="14" t="str">
        <f ca="1">IFERROR(__xludf.DUMMYFUNCTION("""COMPUTED_VALUE"""),"ja")</f>
        <v>ja</v>
      </c>
      <c r="Z27" s="14"/>
      <c r="AA27" s="14"/>
      <c r="AB27" s="14" t="str">
        <f ca="1">IFERROR(__xludf.DUMMYFUNCTION("""COMPUTED_VALUE"""),"x")</f>
        <v>x</v>
      </c>
      <c r="AC27" s="14" t="str">
        <f ca="1">IFERROR(__xludf.DUMMYFUNCTION("""COMPUTED_VALUE"""),"x")</f>
        <v>x</v>
      </c>
    </row>
    <row r="28" spans="1:29" ht="12.5" x14ac:dyDescent="0.25">
      <c r="A28" s="14" t="str">
        <f ca="1">IFERROR(__xludf.DUMMYFUNCTION("""COMPUTED_VALUE"""),"Camilla")</f>
        <v>Camilla</v>
      </c>
      <c r="B28" s="14" t="str">
        <f ca="1">IFERROR(__xludf.DUMMYFUNCTION("""COMPUTED_VALUE"""),"Bach &amp; Busholdt")</f>
        <v>Bach &amp; Busholdt</v>
      </c>
      <c r="C28" s="14">
        <f ca="1">IFERROR(__xludf.DUMMYFUNCTION("""COMPUTED_VALUE"""),39617048)</f>
        <v>39617048</v>
      </c>
      <c r="D28" s="14" t="str">
        <f ca="1">IFERROR(__xludf.DUMMYFUNCTION("""COMPUTED_VALUE"""),"MG-SJ: 3.499,-")</f>
        <v>MG-SJ: 3.499,-</v>
      </c>
      <c r="E28" s="14">
        <f ca="1">IFERROR(__xludf.DUMMYFUNCTION("""COMPUTED_VALUE"""),1202)</f>
        <v>1202</v>
      </c>
      <c r="F28" s="14" t="str">
        <f ca="1">IFERROR(__xludf.DUMMYFUNCTION("""COMPUTED_VALUE"""),"Mathias Bach")</f>
        <v>Mathias Bach</v>
      </c>
      <c r="G28" s="14" t="str">
        <f ca="1">IFERROR(__xludf.DUMMYFUNCTION("""COMPUTED_VALUE"""),"ba@ejb.dk")</f>
        <v>ba@ejb.dk</v>
      </c>
      <c r="H28" s="14">
        <f ca="1">IFERROR(__xludf.DUMMYFUNCTION("""COMPUTED_VALUE"""),30225020)</f>
        <v>30225020</v>
      </c>
      <c r="I28" s="14" t="str">
        <f ca="1">IFERROR(__xludf.DUMMYFUNCTION("""COMPUTED_VALUE"""),"Dalgas Boulevard 48")</f>
        <v>Dalgas Boulevard 48</v>
      </c>
      <c r="J28" s="14">
        <f ca="1">IFERROR(__xludf.DUMMYFUNCTION("""COMPUTED_VALUE"""),2000)</f>
        <v>2000</v>
      </c>
      <c r="K28" s="14" t="str">
        <f ca="1">IFERROR(__xludf.DUMMYFUNCTION("""COMPUTED_VALUE"""),"Frederiksberg")</f>
        <v>Frederiksberg</v>
      </c>
      <c r="L28" s="14" t="str">
        <f ca="1">IFERROR(__xludf.DUMMYFUNCTION("""COMPUTED_VALUE"""),"Frederiksberg")</f>
        <v>Frederiksberg</v>
      </c>
      <c r="M28" s="14" t="str">
        <f ca="1">IFERROR(__xludf.DUMMYFUNCTION("""COMPUTED_VALUE"""),"København By")</f>
        <v>København By</v>
      </c>
      <c r="N28" s="14" t="str">
        <f ca="1">IFERROR(__xludf.DUMMYFUNCTION("""COMPUTED_VALUE"""),"Hovedstaden")</f>
        <v>Hovedstaden</v>
      </c>
      <c r="O28" s="14">
        <f ca="1">IFERROR(__xludf.DUMMYFUNCTION("""COMPUTED_VALUE"""),30225020)</f>
        <v>30225020</v>
      </c>
      <c r="P28" s="14" t="str">
        <f ca="1">IFERROR(__xludf.DUMMYFUNCTION("""COMPUTED_VALUE"""),"bolig@ejb.dk")</f>
        <v>bolig@ejb.dk</v>
      </c>
      <c r="Q28" s="15" t="str">
        <f ca="1">IFERROR(__xludf.DUMMYFUNCTION("""COMPUTED_VALUE"""),"https://www.boliga.dk/maegler/25544")</f>
        <v>https://www.boliga.dk/maegler/25544</v>
      </c>
      <c r="R28" s="14" t="str">
        <f ca="1">IFERROR(__xludf.DUMMYFUNCTION("""COMPUTED_VALUE"""),"-")</f>
        <v>-</v>
      </c>
      <c r="S28" s="14" t="str">
        <f ca="1">IFERROR(__xludf.DUMMYFUNCTION("""COMPUTED_VALUE"""),"-")</f>
        <v>-</v>
      </c>
      <c r="T28" s="14" t="str">
        <f ca="1">IFERROR(__xludf.DUMMYFUNCTION("""COMPUTED_VALUE"""),"-")</f>
        <v>-</v>
      </c>
      <c r="U28" s="14">
        <f ca="1">IFERROR(__xludf.DUMMYFUNCTION("""COMPUTED_VALUE"""),2)</f>
        <v>2</v>
      </c>
      <c r="V28" s="14" t="str">
        <f ca="1">IFERROR(__xludf.DUMMYFUNCTION("""COMPUTED_VALUE"""),"5610, 3100")</f>
        <v>5610, 3100</v>
      </c>
      <c r="W28" s="14">
        <f ca="1">IFERROR(__xludf.DUMMYFUNCTION("""COMPUTED_VALUE"""),1)</f>
        <v>1</v>
      </c>
      <c r="X28" s="14">
        <f ca="1">IFERROR(__xludf.DUMMYFUNCTION("""COMPUTED_VALUE"""),2920)</f>
        <v>2920</v>
      </c>
      <c r="Y28" s="14" t="str">
        <f ca="1">IFERROR(__xludf.DUMMYFUNCTION("""COMPUTED_VALUE"""),"ja")</f>
        <v>ja</v>
      </c>
      <c r="Z28" s="14"/>
      <c r="AA28" s="14"/>
      <c r="AB28" s="14" t="str">
        <f ca="1">IFERROR(__xludf.DUMMYFUNCTION("""COMPUTED_VALUE"""),"x")</f>
        <v>x</v>
      </c>
      <c r="AC28" s="14" t="str">
        <f ca="1">IFERROR(__xludf.DUMMYFUNCTION("""COMPUTED_VALUE"""),"x")</f>
        <v>x</v>
      </c>
    </row>
    <row r="29" spans="1:29" ht="12.5" x14ac:dyDescent="0.25">
      <c r="A29" s="14" t="str">
        <f ca="1">IFERROR(__xludf.DUMMYFUNCTION("""COMPUTED_VALUE"""),"Camilla")</f>
        <v>Camilla</v>
      </c>
      <c r="B29" s="14" t="str">
        <f ca="1">IFERROR(__xludf.DUMMYFUNCTION("""COMPUTED_VALUE"""),"Benzon Ejendomsmægler")</f>
        <v>Benzon Ejendomsmægler</v>
      </c>
      <c r="C29" s="14">
        <f ca="1">IFERROR(__xludf.DUMMYFUNCTION("""COMPUTED_VALUE"""),27786898)</f>
        <v>27786898</v>
      </c>
      <c r="D29" s="14" t="str">
        <f ca="1">IFERROR(__xludf.DUMMYFUNCTION("""COMPUTED_VALUE"""),"MG-SJ: 3.499,-")</f>
        <v>MG-SJ: 3.499,-</v>
      </c>
      <c r="E29" s="14">
        <f ca="1">IFERROR(__xludf.DUMMYFUNCTION("""COMPUTED_VALUE"""),1202)</f>
        <v>1202</v>
      </c>
      <c r="F29" s="14" t="str">
        <f ca="1">IFERROR(__xludf.DUMMYFUNCTION("""COMPUTED_VALUE"""),"Mia Benzon")</f>
        <v>Mia Benzon</v>
      </c>
      <c r="G29" s="14" t="str">
        <f ca="1">IFERROR(__xludf.DUMMYFUNCTION("""COMPUTED_VALUE"""),"mb@emgl.dk")</f>
        <v>mb@emgl.dk</v>
      </c>
      <c r="H29" s="14">
        <f ca="1">IFERROR(__xludf.DUMMYFUNCTION("""COMPUTED_VALUE"""),27845440)</f>
        <v>27845440</v>
      </c>
      <c r="I29" s="14" t="str">
        <f ca="1">IFERROR(__xludf.DUMMYFUNCTION("""COMPUTED_VALUE"""),"Nørregade 27B")</f>
        <v>Nørregade 27B</v>
      </c>
      <c r="J29" s="14">
        <f ca="1">IFERROR(__xludf.DUMMYFUNCTION("""COMPUTED_VALUE"""),3390)</f>
        <v>3390</v>
      </c>
      <c r="K29" s="14" t="str">
        <f ca="1">IFERROR(__xludf.DUMMYFUNCTION("""COMPUTED_VALUE"""),"Hundested")</f>
        <v>Hundested</v>
      </c>
      <c r="L29" s="14" t="str">
        <f ca="1">IFERROR(__xludf.DUMMYFUNCTION("""COMPUTED_VALUE"""),"Halsnæs")</f>
        <v>Halsnæs</v>
      </c>
      <c r="M29" s="14" t="str">
        <f ca="1">IFERROR(__xludf.DUMMYFUNCTION("""COMPUTED_VALUE"""),"Nordsjælland")</f>
        <v>Nordsjælland</v>
      </c>
      <c r="N29" s="14" t="str">
        <f ca="1">IFERROR(__xludf.DUMMYFUNCTION("""COMPUTED_VALUE"""),"Hovedstaden")</f>
        <v>Hovedstaden</v>
      </c>
      <c r="O29" s="14">
        <f ca="1">IFERROR(__xludf.DUMMYFUNCTION("""COMPUTED_VALUE"""),47961100)</f>
        <v>47961100</v>
      </c>
      <c r="P29" s="14" t="str">
        <f ca="1">IFERROR(__xludf.DUMMYFUNCTION("""COMPUTED_VALUE"""),"tb@emgl.dk")</f>
        <v>tb@emgl.dk</v>
      </c>
      <c r="Q29" s="15" t="str">
        <f ca="1">IFERROR(__xludf.DUMMYFUNCTION("""COMPUTED_VALUE"""),"https://www.boliga.dk/maegler/28936")</f>
        <v>https://www.boliga.dk/maegler/28936</v>
      </c>
      <c r="R29" s="14" t="str">
        <f ca="1">IFERROR(__xludf.DUMMYFUNCTION("""COMPUTED_VALUE"""),"-")</f>
        <v>-</v>
      </c>
      <c r="S29" s="14" t="str">
        <f ca="1">IFERROR(__xludf.DUMMYFUNCTION("""COMPUTED_VALUE"""),"-")</f>
        <v>-</v>
      </c>
      <c r="T29" s="14" t="str">
        <f ca="1">IFERROR(__xludf.DUMMYFUNCTION("""COMPUTED_VALUE"""),"-")</f>
        <v>-</v>
      </c>
      <c r="U29" s="14">
        <f ca="1">IFERROR(__xludf.DUMMYFUNCTION("""COMPUTED_VALUE"""),6)</f>
        <v>6</v>
      </c>
      <c r="V29" s="14">
        <f ca="1">IFERROR(__xludf.DUMMYFUNCTION("""COMPUTED_VALUE"""),3390)</f>
        <v>3390</v>
      </c>
      <c r="W29" s="14">
        <f ca="1">IFERROR(__xludf.DUMMYFUNCTION("""COMPUTED_VALUE"""),23)</f>
        <v>23</v>
      </c>
      <c r="X29" s="14" t="str">
        <f ca="1">IFERROR(__xludf.DUMMYFUNCTION("""COMPUTED_VALUE"""),"3300, 3360, 3390, 9881")</f>
        <v>3300, 3360, 3390, 9881</v>
      </c>
      <c r="Y29" s="14" t="str">
        <f ca="1">IFERROR(__xludf.DUMMYFUNCTION("""COMPUTED_VALUE"""),"ja")</f>
        <v>ja</v>
      </c>
      <c r="Z29" s="14"/>
      <c r="AA29" s="14"/>
      <c r="AB29" s="14" t="str">
        <f ca="1">IFERROR(__xludf.DUMMYFUNCTION("""COMPUTED_VALUE"""),"x")</f>
        <v>x</v>
      </c>
      <c r="AC29" s="14" t="str">
        <f ca="1">IFERROR(__xludf.DUMMYFUNCTION("""COMPUTED_VALUE"""),"x")</f>
        <v>x</v>
      </c>
    </row>
    <row r="30" spans="1:29" ht="12.5" x14ac:dyDescent="0.25">
      <c r="A30" s="14" t="str">
        <f ca="1">IFERROR(__xludf.DUMMYFUNCTION("""COMPUTED_VALUE"""),"Camilla")</f>
        <v>Camilla</v>
      </c>
      <c r="B30" s="14" t="str">
        <f ca="1">IFERROR(__xludf.DUMMYFUNCTION("""COMPUTED_VALUE"""),"Bernstorff Estate")</f>
        <v>Bernstorff Estate</v>
      </c>
      <c r="C30" s="14">
        <f ca="1">IFERROR(__xludf.DUMMYFUNCTION("""COMPUTED_VALUE"""),31610176)</f>
        <v>31610176</v>
      </c>
      <c r="D30" s="14" t="str">
        <f ca="1">IFERROR(__xludf.DUMMYFUNCTION("""COMPUTED_VALUE"""),"MG-SJ: 3.499,-")</f>
        <v>MG-SJ: 3.499,-</v>
      </c>
      <c r="E30" s="14">
        <f ca="1">IFERROR(__xludf.DUMMYFUNCTION("""COMPUTED_VALUE"""),1202)</f>
        <v>1202</v>
      </c>
      <c r="F30" s="14" t="str">
        <f ca="1">IFERROR(__xludf.DUMMYFUNCTION("""COMPUTED_VALUE"""),"Helene")</f>
        <v>Helene</v>
      </c>
      <c r="G30" s="15" t="str">
        <f ca="1">IFERROR(__xludf.DUMMYFUNCTION("""COMPUTED_VALUE"""),"info@bernstorffestate.dk")</f>
        <v>info@bernstorffestate.dk</v>
      </c>
      <c r="H30" s="14">
        <f ca="1">IFERROR(__xludf.DUMMYFUNCTION("""COMPUTED_VALUE"""),40537808)</f>
        <v>40537808</v>
      </c>
      <c r="I30" s="14" t="str">
        <f ca="1">IFERROR(__xludf.DUMMYFUNCTION("""COMPUTED_VALUE"""),"Marievej 7")</f>
        <v>Marievej 7</v>
      </c>
      <c r="J30" s="14">
        <f ca="1">IFERROR(__xludf.DUMMYFUNCTION("""COMPUTED_VALUE"""),2950)</f>
        <v>2950</v>
      </c>
      <c r="K30" s="14" t="str">
        <f ca="1">IFERROR(__xludf.DUMMYFUNCTION("""COMPUTED_VALUE"""),"Vedbæk")</f>
        <v>Vedbæk</v>
      </c>
      <c r="L30" s="14" t="str">
        <f ca="1">IFERROR(__xludf.DUMMYFUNCTION("""COMPUTED_VALUE"""),"Rudersdal")</f>
        <v>Rudersdal</v>
      </c>
      <c r="M30" s="14" t="str">
        <f ca="1">IFERROR(__xludf.DUMMYFUNCTION("""COMPUTED_VALUE"""),"Nordsjælland")</f>
        <v>Nordsjælland</v>
      </c>
      <c r="N30" s="14" t="str">
        <f ca="1">IFERROR(__xludf.DUMMYFUNCTION("""COMPUTED_VALUE"""),"Hovedstaden")</f>
        <v>Hovedstaden</v>
      </c>
      <c r="O30" s="14">
        <f ca="1">IFERROR(__xludf.DUMMYFUNCTION("""COMPUTED_VALUE"""),70220506)</f>
        <v>70220506</v>
      </c>
      <c r="P30" s="14" t="str">
        <f ca="1">IFERROR(__xludf.DUMMYFUNCTION("""COMPUTED_VALUE"""),"info@bernstorffestate.dk")</f>
        <v>info@bernstorffestate.dk</v>
      </c>
      <c r="Q30" s="15" t="str">
        <f ca="1">IFERROR(__xludf.DUMMYFUNCTION("""COMPUTED_VALUE"""),"https://www.boliga.dk/maegler/26590")</f>
        <v>https://www.boliga.dk/maegler/26590</v>
      </c>
      <c r="R30" s="14" t="str">
        <f ca="1">IFERROR(__xludf.DUMMYFUNCTION("""COMPUTED_VALUE"""),"-")</f>
        <v>-</v>
      </c>
      <c r="S30" s="14" t="str">
        <f ca="1">IFERROR(__xludf.DUMMYFUNCTION("""COMPUTED_VALUE"""),"-")</f>
        <v>-</v>
      </c>
      <c r="T30" s="14" t="str">
        <f ca="1">IFERROR(__xludf.DUMMYFUNCTION("""COMPUTED_VALUE"""),"-")</f>
        <v>-</v>
      </c>
      <c r="U30" s="14">
        <f ca="1">IFERROR(__xludf.DUMMYFUNCTION("""COMPUTED_VALUE"""),4)</f>
        <v>4</v>
      </c>
      <c r="V30" s="14" t="str">
        <f ca="1">IFERROR(__xludf.DUMMYFUNCTION("""COMPUTED_VALUE"""),"2950, 2840, 2960")</f>
        <v>2950, 2840, 2960</v>
      </c>
      <c r="W30" s="14">
        <f ca="1">IFERROR(__xludf.DUMMYFUNCTION("""COMPUTED_VALUE"""),9)</f>
        <v>9</v>
      </c>
      <c r="X30" s="14" t="str">
        <f ca="1">IFERROR(__xludf.DUMMYFUNCTION("""COMPUTED_VALUE"""),"2950, 2960")</f>
        <v>2950, 2960</v>
      </c>
      <c r="Y30" s="14" t="str">
        <f ca="1">IFERROR(__xludf.DUMMYFUNCTION("""COMPUTED_VALUE"""),"ja")</f>
        <v>ja</v>
      </c>
      <c r="Z30" s="14"/>
      <c r="AA30" s="14"/>
      <c r="AB30" s="14" t="str">
        <f ca="1">IFERROR(__xludf.DUMMYFUNCTION("""COMPUTED_VALUE"""),"x")</f>
        <v>x</v>
      </c>
      <c r="AC30" s="14" t="str">
        <f ca="1">IFERROR(__xludf.DUMMYFUNCTION("""COMPUTED_VALUE"""),"x")</f>
        <v>x</v>
      </c>
    </row>
    <row r="31" spans="1:29" ht="12.5" x14ac:dyDescent="0.25">
      <c r="A31" s="14" t="str">
        <f ca="1">IFERROR(__xludf.DUMMYFUNCTION("""COMPUTED_VALUE"""),"Camilla")</f>
        <v>Camilla</v>
      </c>
      <c r="B31" s="14" t="str">
        <f ca="1">IFERROR(__xludf.DUMMYFUNCTION("""COMPUTED_VALUE"""),"Bjørn &amp; Byskov")</f>
        <v>Bjørn &amp; Byskov</v>
      </c>
      <c r="C31" s="14">
        <f ca="1">IFERROR(__xludf.DUMMYFUNCTION("""COMPUTED_VALUE"""),38311220)</f>
        <v>38311220</v>
      </c>
      <c r="D31" s="14" t="str">
        <f ca="1">IFERROR(__xludf.DUMMYFUNCTION("""COMPUTED_VALUE"""),"MG-SJ: 3.499,-")</f>
        <v>MG-SJ: 3.499,-</v>
      </c>
      <c r="E31" s="14">
        <f ca="1">IFERROR(__xludf.DUMMYFUNCTION("""COMPUTED_VALUE"""),1202)</f>
        <v>1202</v>
      </c>
      <c r="F31" s="14" t="str">
        <f ca="1">IFERROR(__xludf.DUMMYFUNCTION("""COMPUTED_VALUE"""),"Michael Bjørn ")</f>
        <v xml:space="preserve">Michael Bjørn </v>
      </c>
      <c r="G31" s="14" t="str">
        <f ca="1">IFERROR(__xludf.DUMMYFUNCTION("""COMPUTED_VALUE"""),"michael@bjornbyskov.dk")</f>
        <v>michael@bjornbyskov.dk</v>
      </c>
      <c r="H31" s="14">
        <f ca="1">IFERROR(__xludf.DUMMYFUNCTION("""COMPUTED_VALUE"""),40190091)</f>
        <v>40190091</v>
      </c>
      <c r="I31" s="14" t="str">
        <f ca="1">IFERROR(__xludf.DUMMYFUNCTION("""COMPUTED_VALUE"""),"Strandvejen 175")</f>
        <v>Strandvejen 175</v>
      </c>
      <c r="J31" s="14">
        <f ca="1">IFERROR(__xludf.DUMMYFUNCTION("""COMPUTED_VALUE"""),2900)</f>
        <v>2900</v>
      </c>
      <c r="K31" s="14" t="str">
        <f ca="1">IFERROR(__xludf.DUMMYFUNCTION("""COMPUTED_VALUE"""),"Hellerup")</f>
        <v>Hellerup</v>
      </c>
      <c r="L31" s="14" t="str">
        <f ca="1">IFERROR(__xludf.DUMMYFUNCTION("""COMPUTED_VALUE"""),"Gentofte")</f>
        <v>Gentofte</v>
      </c>
      <c r="M31" s="14" t="str">
        <f ca="1">IFERROR(__xludf.DUMMYFUNCTION("""COMPUTED_VALUE"""),"Københavns omegn")</f>
        <v>Københavns omegn</v>
      </c>
      <c r="N31" s="14" t="str">
        <f ca="1">IFERROR(__xludf.DUMMYFUNCTION("""COMPUTED_VALUE"""),"Hovedstaden")</f>
        <v>Hovedstaden</v>
      </c>
      <c r="O31" s="14">
        <f ca="1">IFERROR(__xludf.DUMMYFUNCTION("""COMPUTED_VALUE"""),31682900)</f>
        <v>31682900</v>
      </c>
      <c r="P31" s="14" t="str">
        <f ca="1">IFERROR(__xludf.DUMMYFUNCTION("""COMPUTED_VALUE"""),"email@bjornbyskov.dk")</f>
        <v>email@bjornbyskov.dk</v>
      </c>
      <c r="Q31" s="15" t="str">
        <f ca="1">IFERROR(__xludf.DUMMYFUNCTION("""COMPUTED_VALUE"""),"https://www.boliga.dk/maegler/27613")</f>
        <v>https://www.boliga.dk/maegler/27613</v>
      </c>
      <c r="R31" s="14" t="str">
        <f ca="1">IFERROR(__xludf.DUMMYFUNCTION("""COMPUTED_VALUE"""),"-")</f>
        <v>-</v>
      </c>
      <c r="S31" s="14" t="str">
        <f ca="1">IFERROR(__xludf.DUMMYFUNCTION("""COMPUTED_VALUE"""),"-")</f>
        <v>-</v>
      </c>
      <c r="T31" s="14" t="str">
        <f ca="1">IFERROR(__xludf.DUMMYFUNCTION("""COMPUTED_VALUE"""),"-")</f>
        <v>-</v>
      </c>
      <c r="U31" s="14">
        <f ca="1">IFERROR(__xludf.DUMMYFUNCTION("""COMPUTED_VALUE"""),19)</f>
        <v>19</v>
      </c>
      <c r="V31" s="14" t="str">
        <f ca="1">IFERROR(__xludf.DUMMYFUNCTION("""COMPUTED_VALUE"""),"3460, 1103, 3230, 2000, 2500, 2920, 2800, 2150, 2900, 2930, 3250")</f>
        <v>3460, 1103, 3230, 2000, 2500, 2920, 2800, 2150, 2900, 2930, 3250</v>
      </c>
      <c r="W31" s="14">
        <f ca="1">IFERROR(__xludf.DUMMYFUNCTION("""COMPUTED_VALUE"""),17)</f>
        <v>17</v>
      </c>
      <c r="X31" s="14" t="str">
        <f ca="1">IFERROR(__xludf.DUMMYFUNCTION("""COMPUTED_VALUE"""),"2960, 1171, 2450, 1401, 3100, 2100, 2800, 3210, 3460, 2860, 2900, 2942, 3120")</f>
        <v>2960, 1171, 2450, 1401, 3100, 2100, 2800, 3210, 3460, 2860, 2900, 2942, 3120</v>
      </c>
      <c r="Y31" s="14" t="str">
        <f ca="1">IFERROR(__xludf.DUMMYFUNCTION("""COMPUTED_VALUE"""),"ja")</f>
        <v>ja</v>
      </c>
      <c r="Z31" s="14"/>
      <c r="AA31" s="14"/>
      <c r="AB31" s="14" t="str">
        <f ca="1">IFERROR(__xludf.DUMMYFUNCTION("""COMPUTED_VALUE"""),"x")</f>
        <v>x</v>
      </c>
      <c r="AC31" s="14" t="str">
        <f ca="1">IFERROR(__xludf.DUMMYFUNCTION("""COMPUTED_VALUE"""),"x")</f>
        <v>x</v>
      </c>
    </row>
    <row r="32" spans="1:29" ht="12.5" x14ac:dyDescent="0.25">
      <c r="A32" s="14" t="str">
        <f ca="1">IFERROR(__xludf.DUMMYFUNCTION("""COMPUTED_VALUE"""),"Camilla")</f>
        <v>Camilla</v>
      </c>
      <c r="B32" s="14" t="str">
        <f ca="1">IFERROR(__xludf.DUMMYFUNCTION("""COMPUTED_VALUE"""),"Bo Basic Aps")</f>
        <v>Bo Basic Aps</v>
      </c>
      <c r="C32" s="14">
        <f ca="1">IFERROR(__xludf.DUMMYFUNCTION("""COMPUTED_VALUE"""),27748953)</f>
        <v>27748953</v>
      </c>
      <c r="D32" s="14" t="str">
        <f ca="1">IFERROR(__xludf.DUMMYFUNCTION("""COMPUTED_VALUE"""),"MG-SJ: 3.499,-")</f>
        <v>MG-SJ: 3.499,-</v>
      </c>
      <c r="E32" s="14">
        <f ca="1">IFERROR(__xludf.DUMMYFUNCTION("""COMPUTED_VALUE"""),1202)</f>
        <v>1202</v>
      </c>
      <c r="F32" s="14" t="str">
        <f ca="1">IFERROR(__xludf.DUMMYFUNCTION("""COMPUTED_VALUE"""),"Carsten Dalsgaard")</f>
        <v>Carsten Dalsgaard</v>
      </c>
      <c r="G32" s="14" t="str">
        <f ca="1">IFERROR(__xludf.DUMMYFUNCTION("""COMPUTED_VALUE"""),"cd@bobasic.dk")</f>
        <v>cd@bobasic.dk</v>
      </c>
      <c r="H32" s="14">
        <f ca="1">IFERROR(__xludf.DUMMYFUNCTION("""COMPUTED_VALUE"""),27290002)</f>
        <v>27290002</v>
      </c>
      <c r="I32" s="14" t="str">
        <f ca="1">IFERROR(__xludf.DUMMYFUNCTION("""COMPUTED_VALUE"""),"Hvidovrevej 134B")</f>
        <v>Hvidovrevej 134B</v>
      </c>
      <c r="J32" s="14">
        <f ca="1">IFERROR(__xludf.DUMMYFUNCTION("""COMPUTED_VALUE"""),2650)</f>
        <v>2650</v>
      </c>
      <c r="K32" s="14" t="str">
        <f ca="1">IFERROR(__xludf.DUMMYFUNCTION("""COMPUTED_VALUE"""),"Hvidovre")</f>
        <v>Hvidovre</v>
      </c>
      <c r="L32" s="14" t="str">
        <f ca="1">IFERROR(__xludf.DUMMYFUNCTION("""COMPUTED_VALUE"""),"Hvidovre")</f>
        <v>Hvidovre</v>
      </c>
      <c r="M32" s="14" t="str">
        <f ca="1">IFERROR(__xludf.DUMMYFUNCTION("""COMPUTED_VALUE"""),"Københavns omegn")</f>
        <v>Københavns omegn</v>
      </c>
      <c r="N32" s="14" t="str">
        <f ca="1">IFERROR(__xludf.DUMMYFUNCTION("""COMPUTED_VALUE"""),"Hovedstaden")</f>
        <v>Hovedstaden</v>
      </c>
      <c r="O32" s="14">
        <f ca="1">IFERROR(__xludf.DUMMYFUNCTION("""COMPUTED_VALUE"""),36350035)</f>
        <v>36350035</v>
      </c>
      <c r="P32" s="14" t="str">
        <f ca="1">IFERROR(__xludf.DUMMYFUNCTION("""COMPUTED_VALUE"""),"bb@bobasic.dk")</f>
        <v>bb@bobasic.dk</v>
      </c>
      <c r="Q32" s="15" t="str">
        <f ca="1">IFERROR(__xludf.DUMMYFUNCTION("""COMPUTED_VALUE"""),"https://www.boliga.dk/maegler/431")</f>
        <v>https://www.boliga.dk/maegler/431</v>
      </c>
      <c r="R32" s="14" t="str">
        <f ca="1">IFERROR(__xludf.DUMMYFUNCTION("""COMPUTED_VALUE"""),"-")</f>
        <v>-</v>
      </c>
      <c r="S32" s="14" t="str">
        <f ca="1">IFERROR(__xludf.DUMMYFUNCTION("""COMPUTED_VALUE"""),"-")</f>
        <v>-</v>
      </c>
      <c r="T32" s="14" t="str">
        <f ca="1">IFERROR(__xludf.DUMMYFUNCTION("""COMPUTED_VALUE"""),"-")</f>
        <v>-</v>
      </c>
      <c r="U32" s="14">
        <f ca="1">IFERROR(__xludf.DUMMYFUNCTION("""COMPUTED_VALUE"""),6)</f>
        <v>6</v>
      </c>
      <c r="V32" s="14" t="str">
        <f ca="1">IFERROR(__xludf.DUMMYFUNCTION("""COMPUTED_VALUE"""),"2650, 3460")</f>
        <v>2650, 3460</v>
      </c>
      <c r="W32" s="14">
        <f ca="1">IFERROR(__xludf.DUMMYFUNCTION("""COMPUTED_VALUE"""),23)</f>
        <v>23</v>
      </c>
      <c r="X32" s="14" t="str">
        <f ca="1">IFERROR(__xludf.DUMMYFUNCTION("""COMPUTED_VALUE"""),"2610, 3460, 3520, 2200, 2650")</f>
        <v>2610, 3460, 3520, 2200, 2650</v>
      </c>
      <c r="Y32" s="14" t="str">
        <f ca="1">IFERROR(__xludf.DUMMYFUNCTION("""COMPUTED_VALUE"""),"ja")</f>
        <v>ja</v>
      </c>
      <c r="Z32" s="14"/>
      <c r="AA32" s="14"/>
      <c r="AB32" s="14" t="str">
        <f ca="1">IFERROR(__xludf.DUMMYFUNCTION("""COMPUTED_VALUE"""),"x")</f>
        <v>x</v>
      </c>
      <c r="AC32" s="14" t="str">
        <f ca="1">IFERROR(__xludf.DUMMYFUNCTION("""COMPUTED_VALUE"""),"x")</f>
        <v>x</v>
      </c>
    </row>
    <row r="33" spans="1:29" ht="12.5" x14ac:dyDescent="0.25">
      <c r="A33" s="14" t="str">
        <f ca="1">IFERROR(__xludf.DUMMYFUNCTION("""COMPUTED_VALUE"""),"Camilla")</f>
        <v>Camilla</v>
      </c>
      <c r="B33" s="14" t="str">
        <f ca="1">IFERROR(__xludf.DUMMYFUNCTION("""COMPUTED_VALUE"""),"Bolig Eksklusiv")</f>
        <v>Bolig Eksklusiv</v>
      </c>
      <c r="C33" s="14">
        <f ca="1">IFERROR(__xludf.DUMMYFUNCTION("""COMPUTED_VALUE"""),41978678)</f>
        <v>41978678</v>
      </c>
      <c r="D33" s="14" t="str">
        <f ca="1">IFERROR(__xludf.DUMMYFUNCTION("""COMPUTED_VALUE"""),"MG-SJ: 3.499,-")</f>
        <v>MG-SJ: 3.499,-</v>
      </c>
      <c r="E33" s="14">
        <f ca="1">IFERROR(__xludf.DUMMYFUNCTION("""COMPUTED_VALUE"""),1202)</f>
        <v>1202</v>
      </c>
      <c r="F33" s="14" t="str">
        <f ca="1">IFERROR(__xludf.DUMMYFUNCTION("""COMPUTED_VALUE"""),"Klaus Øllgaard ")</f>
        <v xml:space="preserve">Klaus Øllgaard </v>
      </c>
      <c r="G33" s="14" t="str">
        <f ca="1">IFERROR(__xludf.DUMMYFUNCTION("""COMPUTED_VALUE"""),"klaus@boligeksklusiv.dk")</f>
        <v>klaus@boligeksklusiv.dk</v>
      </c>
      <c r="H33" s="14">
        <f ca="1">IFERROR(__xludf.DUMMYFUNCTION("""COMPUTED_VALUE"""),28602592)</f>
        <v>28602592</v>
      </c>
      <c r="I33" s="14" t="str">
        <f ca="1">IFERROR(__xludf.DUMMYFUNCTION("""COMPUTED_VALUE"""),"Holte Stationsvej 16")</f>
        <v>Holte Stationsvej 16</v>
      </c>
      <c r="J33" s="14">
        <f ca="1">IFERROR(__xludf.DUMMYFUNCTION("""COMPUTED_VALUE"""),2840)</f>
        <v>2840</v>
      </c>
      <c r="K33" s="14" t="str">
        <f ca="1">IFERROR(__xludf.DUMMYFUNCTION("""COMPUTED_VALUE"""),"Holte")</f>
        <v>Holte</v>
      </c>
      <c r="L33" s="14" t="str">
        <f ca="1">IFERROR(__xludf.DUMMYFUNCTION("""COMPUTED_VALUE"""),"Rudersdal")</f>
        <v>Rudersdal</v>
      </c>
      <c r="M33" s="14" t="str">
        <f ca="1">IFERROR(__xludf.DUMMYFUNCTION("""COMPUTED_VALUE"""),"Nordsjælland")</f>
        <v>Nordsjælland</v>
      </c>
      <c r="N33" s="14" t="str">
        <f ca="1">IFERROR(__xludf.DUMMYFUNCTION("""COMPUTED_VALUE"""),"Hovedstaden")</f>
        <v>Hovedstaden</v>
      </c>
      <c r="O33" s="14" t="str">
        <f ca="1">IFERROR(__xludf.DUMMYFUNCTION("""COMPUTED_VALUE"""),"72 170 270")</f>
        <v>72 170 270</v>
      </c>
      <c r="P33" s="14" t="str">
        <f ca="1">IFERROR(__xludf.DUMMYFUNCTION("""COMPUTED_VALUE"""),"mail@boligeksklusiv.dk")</f>
        <v>mail@boligeksklusiv.dk</v>
      </c>
      <c r="Q33" s="15" t="str">
        <f ca="1">IFERROR(__xludf.DUMMYFUNCTION("""COMPUTED_VALUE"""),"https://www.boliga.dk/maegler/17463")</f>
        <v>https://www.boliga.dk/maegler/17463</v>
      </c>
      <c r="R33" s="14" t="str">
        <f ca="1">IFERROR(__xludf.DUMMYFUNCTION("""COMPUTED_VALUE"""),"-")</f>
        <v>-</v>
      </c>
      <c r="S33" s="14" t="str">
        <f ca="1">IFERROR(__xludf.DUMMYFUNCTION("""COMPUTED_VALUE"""),"-")</f>
        <v>-</v>
      </c>
      <c r="T33" s="14" t="str">
        <f ca="1">IFERROR(__xludf.DUMMYFUNCTION("""COMPUTED_VALUE"""),"-")</f>
        <v>-</v>
      </c>
      <c r="U33" s="14">
        <f ca="1">IFERROR(__xludf.DUMMYFUNCTION("""COMPUTED_VALUE"""),4)</f>
        <v>4</v>
      </c>
      <c r="V33" s="14" t="str">
        <f ca="1">IFERROR(__xludf.DUMMYFUNCTION("""COMPUTED_VALUE"""),"2100, 2000, 1651, 2720")</f>
        <v>2100, 2000, 1651, 2720</v>
      </c>
      <c r="W33" s="14">
        <f ca="1">IFERROR(__xludf.DUMMYFUNCTION("""COMPUTED_VALUE"""),4)</f>
        <v>4</v>
      </c>
      <c r="X33" s="14" t="str">
        <f ca="1">IFERROR(__xludf.DUMMYFUNCTION("""COMPUTED_VALUE"""),"2600, 2200, 2300, 2970")</f>
        <v>2600, 2200, 2300, 2970</v>
      </c>
      <c r="Y33" s="14" t="str">
        <f ca="1">IFERROR(__xludf.DUMMYFUNCTION("""COMPUTED_VALUE"""),"ja")</f>
        <v>ja</v>
      </c>
      <c r="Z33" s="14"/>
      <c r="AA33" s="14"/>
      <c r="AB33" s="14" t="str">
        <f ca="1">IFERROR(__xludf.DUMMYFUNCTION("""COMPUTED_VALUE"""),"x")</f>
        <v>x</v>
      </c>
      <c r="AC33" s="14" t="str">
        <f ca="1">IFERROR(__xludf.DUMMYFUNCTION("""COMPUTED_VALUE"""),"x")</f>
        <v>x</v>
      </c>
    </row>
    <row r="34" spans="1:29" ht="12.5" x14ac:dyDescent="0.25">
      <c r="A34" s="14" t="str">
        <f ca="1">IFERROR(__xludf.DUMMYFUNCTION("""COMPUTED_VALUE"""),"Camilla")</f>
        <v>Camilla</v>
      </c>
      <c r="B34" s="15" t="str">
        <f ca="1">IFERROR(__xludf.DUMMYFUNCTION("""COMPUTED_VALUE"""),"boligbolig.dk")</f>
        <v>boligbolig.dk</v>
      </c>
      <c r="C34" s="14">
        <f ca="1">IFERROR(__xludf.DUMMYFUNCTION("""COMPUTED_VALUE"""),39055252)</f>
        <v>39055252</v>
      </c>
      <c r="D34" s="14" t="str">
        <f ca="1">IFERROR(__xludf.DUMMYFUNCTION("""COMPUTED_VALUE"""),"MG-SJ: 3.499,-")</f>
        <v>MG-SJ: 3.499,-</v>
      </c>
      <c r="E34" s="14">
        <f ca="1">IFERROR(__xludf.DUMMYFUNCTION("""COMPUTED_VALUE"""),1202)</f>
        <v>1202</v>
      </c>
      <c r="F34" s="14" t="str">
        <f ca="1">IFERROR(__xludf.DUMMYFUNCTION("""COMPUTED_VALUE"""),"Matthias Krøyer")</f>
        <v>Matthias Krøyer</v>
      </c>
      <c r="G34" s="14" t="str">
        <f ca="1">IFERROR(__xludf.DUMMYFUNCTION("""COMPUTED_VALUE"""),"mok@mglr.dk")</f>
        <v>mok@mglr.dk</v>
      </c>
      <c r="H34" s="14">
        <f ca="1">IFERROR(__xludf.DUMMYFUNCTION("""COMPUTED_VALUE"""),27202160)</f>
        <v>27202160</v>
      </c>
      <c r="I34" s="14" t="str">
        <f ca="1">IFERROR(__xludf.DUMMYFUNCTION("""COMPUTED_VALUE"""),"Nørrebrogade 163")</f>
        <v>Nørrebrogade 163</v>
      </c>
      <c r="J34" s="14">
        <f ca="1">IFERROR(__xludf.DUMMYFUNCTION("""COMPUTED_VALUE"""),2200)</f>
        <v>2200</v>
      </c>
      <c r="K34" s="14" t="str">
        <f ca="1">IFERROR(__xludf.DUMMYFUNCTION("""COMPUTED_VALUE"""),"København N")</f>
        <v>København N</v>
      </c>
      <c r="L34" s="14" t="str">
        <f ca="1">IFERROR(__xludf.DUMMYFUNCTION("""COMPUTED_VALUE"""),"København")</f>
        <v>København</v>
      </c>
      <c r="M34" s="14" t="str">
        <f ca="1">IFERROR(__xludf.DUMMYFUNCTION("""COMPUTED_VALUE"""),"København By")</f>
        <v>København By</v>
      </c>
      <c r="N34" s="14" t="str">
        <f ca="1">IFERROR(__xludf.DUMMYFUNCTION("""COMPUTED_VALUE"""),"Hovedstaden")</f>
        <v>Hovedstaden</v>
      </c>
      <c r="O34" s="14">
        <f ca="1">IFERROR(__xludf.DUMMYFUNCTION("""COMPUTED_VALUE"""),27202160)</f>
        <v>27202160</v>
      </c>
      <c r="P34" s="14" t="str">
        <f ca="1">IFERROR(__xludf.DUMMYFUNCTION("""COMPUTED_VALUE"""),"mok@mglr.dk")</f>
        <v>mok@mglr.dk</v>
      </c>
      <c r="Q34" s="15" t="str">
        <f ca="1">IFERROR(__xludf.DUMMYFUNCTION("""COMPUTED_VALUE"""),"https://www.boliga.dk/maegler/27801")</f>
        <v>https://www.boliga.dk/maegler/27801</v>
      </c>
      <c r="R34" s="14" t="str">
        <f ca="1">IFERROR(__xludf.DUMMYFUNCTION("""COMPUTED_VALUE"""),"-")</f>
        <v>-</v>
      </c>
      <c r="S34" s="14" t="str">
        <f ca="1">IFERROR(__xludf.DUMMYFUNCTION("""COMPUTED_VALUE"""),"-")</f>
        <v>-</v>
      </c>
      <c r="T34" s="14" t="str">
        <f ca="1">IFERROR(__xludf.DUMMYFUNCTION("""COMPUTED_VALUE"""),"-")</f>
        <v>-</v>
      </c>
      <c r="U34" s="14" t="str">
        <f ca="1">IFERROR(__xludf.DUMMYFUNCTION("""COMPUTED_VALUE"""),"-")</f>
        <v>-</v>
      </c>
      <c r="V34" s="14" t="str">
        <f ca="1">IFERROR(__xludf.DUMMYFUNCTION("""COMPUTED_VALUE"""),"-")</f>
        <v>-</v>
      </c>
      <c r="W34" s="14" t="str">
        <f ca="1">IFERROR(__xludf.DUMMYFUNCTION("""COMPUTED_VALUE"""),"-")</f>
        <v>-</v>
      </c>
      <c r="X34" s="14" t="str">
        <f ca="1">IFERROR(__xludf.DUMMYFUNCTION("""COMPUTED_VALUE"""),"-")</f>
        <v>-</v>
      </c>
      <c r="Y34" s="14" t="str">
        <f ca="1">IFERROR(__xludf.DUMMYFUNCTION("""COMPUTED_VALUE"""),"ja")</f>
        <v>ja</v>
      </c>
      <c r="Z34" s="14"/>
      <c r="AA34" s="14"/>
      <c r="AB34" s="14" t="str">
        <f ca="1">IFERROR(__xludf.DUMMYFUNCTION("""COMPUTED_VALUE"""),"x")</f>
        <v>x</v>
      </c>
      <c r="AC34" s="14" t="str">
        <f ca="1">IFERROR(__xludf.DUMMYFUNCTION("""COMPUTED_VALUE"""),"x")</f>
        <v>x</v>
      </c>
    </row>
    <row r="35" spans="1:29" ht="12.5" x14ac:dyDescent="0.25">
      <c r="A35" s="14" t="str">
        <f ca="1">IFERROR(__xludf.DUMMYFUNCTION("""COMPUTED_VALUE"""),"Camilla")</f>
        <v>Camilla</v>
      </c>
      <c r="B35" s="14" t="str">
        <f ca="1">IFERROR(__xludf.DUMMYFUNCTION("""COMPUTED_VALUE"""),"Boligkompagniet København")</f>
        <v>Boligkompagniet København</v>
      </c>
      <c r="C35" s="14">
        <f ca="1">IFERROR(__xludf.DUMMYFUNCTION("""COMPUTED_VALUE"""),38976745)</f>
        <v>38976745</v>
      </c>
      <c r="D35" s="14" t="str">
        <f ca="1">IFERROR(__xludf.DUMMYFUNCTION("""COMPUTED_VALUE"""),"MG-SJ: 3.499,-")</f>
        <v>MG-SJ: 3.499,-</v>
      </c>
      <c r="E35" s="14">
        <f ca="1">IFERROR(__xludf.DUMMYFUNCTION("""COMPUTED_VALUE"""),1202)</f>
        <v>1202</v>
      </c>
      <c r="F35" s="14" t="str">
        <f ca="1">IFERROR(__xludf.DUMMYFUNCTION("""COMPUTED_VALUE"""),"Jonas Lehmann")</f>
        <v>Jonas Lehmann</v>
      </c>
      <c r="G35" s="15" t="str">
        <f ca="1">IFERROR(__xludf.DUMMYFUNCTION("""COMPUTED_VALUE"""),"jonas@boligkompagniet.dk")</f>
        <v>jonas@boligkompagniet.dk</v>
      </c>
      <c r="H35" s="14">
        <f ca="1">IFERROR(__xludf.DUMMYFUNCTION("""COMPUTED_VALUE"""),29210082)</f>
        <v>29210082</v>
      </c>
      <c r="I35" s="14" t="str">
        <f ca="1">IFERROR(__xludf.DUMMYFUNCTION("""COMPUTED_VALUE"""),"Christian IX's Gade 2 2.")</f>
        <v>Christian IX's Gade 2 2.</v>
      </c>
      <c r="J35" s="14">
        <f ca="1">IFERROR(__xludf.DUMMYFUNCTION("""COMPUTED_VALUE"""),1111)</f>
        <v>1111</v>
      </c>
      <c r="K35" s="14" t="str">
        <f ca="1">IFERROR(__xludf.DUMMYFUNCTION("""COMPUTED_VALUE"""),"København K")</f>
        <v>København K</v>
      </c>
      <c r="L35" s="14" t="str">
        <f ca="1">IFERROR(__xludf.DUMMYFUNCTION("""COMPUTED_VALUE"""),"København")</f>
        <v>København</v>
      </c>
      <c r="M35" s="14" t="str">
        <f ca="1">IFERROR(__xludf.DUMMYFUNCTION("""COMPUTED_VALUE"""),"København By")</f>
        <v>København By</v>
      </c>
      <c r="N35" s="14" t="str">
        <f ca="1">IFERROR(__xludf.DUMMYFUNCTION("""COMPUTED_VALUE"""),"Hovedstaden")</f>
        <v>Hovedstaden</v>
      </c>
      <c r="O35" s="14">
        <f ca="1">IFERROR(__xludf.DUMMYFUNCTION("""COMPUTED_VALUE"""),50405050)</f>
        <v>50405050</v>
      </c>
      <c r="P35" s="14" t="str">
        <f ca="1">IFERROR(__xludf.DUMMYFUNCTION("""COMPUTED_VALUE"""),"info@boligkompagniet.dk")</f>
        <v>info@boligkompagniet.dk</v>
      </c>
      <c r="Q35" s="15" t="str">
        <f ca="1">IFERROR(__xludf.DUMMYFUNCTION("""COMPUTED_VALUE"""),"https://www.boliga.dk/maegler/28455")</f>
        <v>https://www.boliga.dk/maegler/28455</v>
      </c>
      <c r="R35" s="14" t="str">
        <f ca="1">IFERROR(__xludf.DUMMYFUNCTION("""COMPUTED_VALUE"""),"-")</f>
        <v>-</v>
      </c>
      <c r="S35" s="14" t="str">
        <f ca="1">IFERROR(__xludf.DUMMYFUNCTION("""COMPUTED_VALUE"""),"-")</f>
        <v>-</v>
      </c>
      <c r="T35" s="14" t="str">
        <f ca="1">IFERROR(__xludf.DUMMYFUNCTION("""COMPUTED_VALUE"""),"-")</f>
        <v>-</v>
      </c>
      <c r="U35" s="14">
        <f ca="1">IFERROR(__xludf.DUMMYFUNCTION("""COMPUTED_VALUE"""),11)</f>
        <v>11</v>
      </c>
      <c r="V35" s="14" t="str">
        <f ca="1">IFERROR(__xludf.DUMMYFUNCTION("""COMPUTED_VALUE"""),"1357, 2000, 2100, 2200, 2500, 2820, 2930")</f>
        <v>1357, 2000, 2100, 2200, 2500, 2820, 2930</v>
      </c>
      <c r="W35" s="14">
        <f ca="1">IFERROR(__xludf.DUMMYFUNCTION("""COMPUTED_VALUE"""),8)</f>
        <v>8</v>
      </c>
      <c r="X35" s="14" t="str">
        <f ca="1">IFERROR(__xludf.DUMMYFUNCTION("""COMPUTED_VALUE"""),"1416, 2950, 2400, 2200, 2920, 3080")</f>
        <v>1416, 2950, 2400, 2200, 2920, 3080</v>
      </c>
      <c r="Y35" s="14" t="str">
        <f ca="1">IFERROR(__xludf.DUMMYFUNCTION("""COMPUTED_VALUE"""),"ja")</f>
        <v>ja</v>
      </c>
      <c r="Z35" s="14"/>
      <c r="AA35" s="14"/>
      <c r="AB35" s="14" t="str">
        <f ca="1">IFERROR(__xludf.DUMMYFUNCTION("""COMPUTED_VALUE"""),"x")</f>
        <v>x</v>
      </c>
      <c r="AC35" s="14" t="str">
        <f ca="1">IFERROR(__xludf.DUMMYFUNCTION("""COMPUTED_VALUE"""),"x")</f>
        <v>x</v>
      </c>
    </row>
    <row r="36" spans="1:29" ht="12.5" x14ac:dyDescent="0.25">
      <c r="A36" s="14" t="str">
        <f ca="1">IFERROR(__xludf.DUMMYFUNCTION("""COMPUTED_VALUE"""),"Camilla")</f>
        <v>Camilla</v>
      </c>
      <c r="B36" s="14" t="str">
        <f ca="1">IFERROR(__xludf.DUMMYFUNCTION("""COMPUTED_VALUE"""),"Boligmatch ApS Ejendomsmæglere og Valuar, MDE")</f>
        <v>Boligmatch ApS Ejendomsmæglere og Valuar, MDE</v>
      </c>
      <c r="C36" s="14">
        <f ca="1">IFERROR(__xludf.DUMMYFUNCTION("""COMPUTED_VALUE"""),33160437)</f>
        <v>33160437</v>
      </c>
      <c r="D36" s="14" t="str">
        <f ca="1">IFERROR(__xludf.DUMMYFUNCTION("""COMPUTED_VALUE"""),"MG-SJ: 3.499,-")</f>
        <v>MG-SJ: 3.499,-</v>
      </c>
      <c r="E36" s="14">
        <f ca="1">IFERROR(__xludf.DUMMYFUNCTION("""COMPUTED_VALUE"""),1202)</f>
        <v>1202</v>
      </c>
      <c r="F36" s="14" t="str">
        <f ca="1">IFERROR(__xludf.DUMMYFUNCTION("""COMPUTED_VALUE"""),"Rasmus Kirkeby")</f>
        <v>Rasmus Kirkeby</v>
      </c>
      <c r="G36" s="14" t="str">
        <f ca="1">IFERROR(__xludf.DUMMYFUNCTION("""COMPUTED_VALUE"""),"rasmus@boligmatch.dk")</f>
        <v>rasmus@boligmatch.dk</v>
      </c>
      <c r="H36" s="14">
        <f ca="1">IFERROR(__xludf.DUMMYFUNCTION("""COMPUTED_VALUE"""),61555954)</f>
        <v>61555954</v>
      </c>
      <c r="I36" s="14" t="str">
        <f ca="1">IFERROR(__xludf.DUMMYFUNCTION("""COMPUTED_VALUE"""),"Tværagervej 21")</f>
        <v>Tværagervej 21</v>
      </c>
      <c r="J36" s="14">
        <f ca="1">IFERROR(__xludf.DUMMYFUNCTION("""COMPUTED_VALUE"""),2600)</f>
        <v>2600</v>
      </c>
      <c r="K36" s="14" t="str">
        <f ca="1">IFERROR(__xludf.DUMMYFUNCTION("""COMPUTED_VALUE"""),"Glostrup")</f>
        <v>Glostrup</v>
      </c>
      <c r="L36" s="14" t="str">
        <f ca="1">IFERROR(__xludf.DUMMYFUNCTION("""COMPUTED_VALUE"""),"Glostrup")</f>
        <v>Glostrup</v>
      </c>
      <c r="M36" s="14" t="str">
        <f ca="1">IFERROR(__xludf.DUMMYFUNCTION("""COMPUTED_VALUE"""),"Københavns omegn")</f>
        <v>Københavns omegn</v>
      </c>
      <c r="N36" s="14" t="str">
        <f ca="1">IFERROR(__xludf.DUMMYFUNCTION("""COMPUTED_VALUE"""),"Hovedstaden")</f>
        <v>Hovedstaden</v>
      </c>
      <c r="O36" s="14">
        <f ca="1">IFERROR(__xludf.DUMMYFUNCTION("""COMPUTED_VALUE"""),70228288)</f>
        <v>70228288</v>
      </c>
      <c r="P36" s="14" t="str">
        <f ca="1">IFERROR(__xludf.DUMMYFUNCTION("""COMPUTED_VALUE"""),"info@boligmatch.dk")</f>
        <v>info@boligmatch.dk</v>
      </c>
      <c r="Q36" s="15" t="str">
        <f ca="1">IFERROR(__xludf.DUMMYFUNCTION("""COMPUTED_VALUE"""),"https://www.boliga.dk/maegler/22381")</f>
        <v>https://www.boliga.dk/maegler/22381</v>
      </c>
      <c r="R36" s="14" t="str">
        <f ca="1">IFERROR(__xludf.DUMMYFUNCTION("""COMPUTED_VALUE"""),"-")</f>
        <v>-</v>
      </c>
      <c r="S36" s="14" t="str">
        <f ca="1">IFERROR(__xludf.DUMMYFUNCTION("""COMPUTED_VALUE"""),"-")</f>
        <v>-</v>
      </c>
      <c r="T36" s="14" t="str">
        <f ca="1">IFERROR(__xludf.DUMMYFUNCTION("""COMPUTED_VALUE"""),"-")</f>
        <v>-</v>
      </c>
      <c r="U36" s="14">
        <f ca="1">IFERROR(__xludf.DUMMYFUNCTION("""COMPUTED_VALUE"""),4)</f>
        <v>4</v>
      </c>
      <c r="V36" s="14" t="str">
        <f ca="1">IFERROR(__xludf.DUMMYFUNCTION("""COMPUTED_VALUE"""),"3050, 4683, 9493, 4700")</f>
        <v>3050, 4683, 9493, 4700</v>
      </c>
      <c r="W36" s="14">
        <f ca="1">IFERROR(__xludf.DUMMYFUNCTION("""COMPUTED_VALUE"""),10)</f>
        <v>10</v>
      </c>
      <c r="X36" s="14" t="str">
        <f ca="1">IFERROR(__xludf.DUMMYFUNCTION("""COMPUTED_VALUE"""),"2400, 2600, 2500, 2860, 2720, 3200, 2800, 2300, 2791, 2650")</f>
        <v>2400, 2600, 2500, 2860, 2720, 3200, 2800, 2300, 2791, 2650</v>
      </c>
      <c r="Y36" s="14" t="str">
        <f ca="1">IFERROR(__xludf.DUMMYFUNCTION("""COMPUTED_VALUE"""),"ja")</f>
        <v>ja</v>
      </c>
      <c r="Z36" s="14"/>
      <c r="AA36" s="14"/>
      <c r="AB36" s="14" t="str">
        <f ca="1">IFERROR(__xludf.DUMMYFUNCTION("""COMPUTED_VALUE"""),"x")</f>
        <v>x</v>
      </c>
      <c r="AC36" s="14" t="str">
        <f ca="1">IFERROR(__xludf.DUMMYFUNCTION("""COMPUTED_VALUE"""),"x")</f>
        <v>x</v>
      </c>
    </row>
    <row r="37" spans="1:29" ht="12.5" x14ac:dyDescent="0.25">
      <c r="A37" s="14" t="str">
        <f ca="1">IFERROR(__xludf.DUMMYFUNCTION("""COMPUTED_VALUE"""),"Camilla")</f>
        <v>Camilla</v>
      </c>
      <c r="B37" s="14" t="str">
        <f ca="1">IFERROR(__xludf.DUMMYFUNCTION("""COMPUTED_VALUE"""),"NjordBolig")</f>
        <v>NjordBolig</v>
      </c>
      <c r="C37" s="14">
        <f ca="1">IFERROR(__xludf.DUMMYFUNCTION("""COMPUTED_VALUE"""),36963816)</f>
        <v>36963816</v>
      </c>
      <c r="D37" s="14" t="str">
        <f ca="1">IFERROR(__xludf.DUMMYFUNCTION("""COMPUTED_VALUE"""),"MG-SJ: 3.499,-")</f>
        <v>MG-SJ: 3.499,-</v>
      </c>
      <c r="E37" s="14">
        <f ca="1">IFERROR(__xludf.DUMMYFUNCTION("""COMPUTED_VALUE"""),1202)</f>
        <v>1202</v>
      </c>
      <c r="F37" s="14" t="str">
        <f ca="1">IFERROR(__xludf.DUMMYFUNCTION("""COMPUTED_VALUE"""),"Rasmus Frank")</f>
        <v>Rasmus Frank</v>
      </c>
      <c r="G37" s="14" t="str">
        <f ca="1">IFERROR(__xludf.DUMMYFUNCTION("""COMPUTED_VALUE"""),"rasmus.frank@njordbolig.dk")</f>
        <v>rasmus.frank@njordbolig.dk</v>
      </c>
      <c r="H37" s="14">
        <f ca="1">IFERROR(__xludf.DUMMYFUNCTION("""COMPUTED_VALUE"""),40101242)</f>
        <v>40101242</v>
      </c>
      <c r="I37" s="14" t="str">
        <f ca="1">IFERROR(__xludf.DUMMYFUNCTION("""COMPUTED_VALUE"""),"Mønten 2")</f>
        <v>Mønten 2</v>
      </c>
      <c r="J37" s="14">
        <f ca="1">IFERROR(__xludf.DUMMYFUNCTION("""COMPUTED_VALUE"""),3600)</f>
        <v>3600</v>
      </c>
      <c r="K37" s="14" t="str">
        <f ca="1">IFERROR(__xludf.DUMMYFUNCTION("""COMPUTED_VALUE"""),"Frederikssund ")</f>
        <v xml:space="preserve">Frederikssund </v>
      </c>
      <c r="L37" s="14"/>
      <c r="M37" s="14"/>
      <c r="N37" s="14"/>
      <c r="O37" s="14" t="str">
        <f ca="1">IFERROR(__xludf.DUMMYFUNCTION("""COMPUTED_VALUE"""),"4738 7708")</f>
        <v>4738 7708</v>
      </c>
      <c r="P37" s="14"/>
      <c r="Q37" s="15" t="str">
        <f ca="1">IFERROR(__xludf.DUMMYFUNCTION("""COMPUTED_VALUE"""),"https://www.boliga.dk/maegler/29110")</f>
        <v>https://www.boliga.dk/maegler/29110</v>
      </c>
      <c r="R37" s="14"/>
      <c r="S37" s="14"/>
      <c r="T37" s="14"/>
      <c r="U37" s="14"/>
      <c r="V37" s="14"/>
      <c r="W37" s="14"/>
      <c r="X37" s="14"/>
      <c r="Y37" s="14" t="str">
        <f ca="1">IFERROR(__xludf.DUMMYFUNCTION("""COMPUTED_VALUE"""),"ja")</f>
        <v>ja</v>
      </c>
      <c r="Z37" s="14"/>
      <c r="AA37" s="14"/>
      <c r="AB37" s="14" t="str">
        <f ca="1">IFERROR(__xludf.DUMMYFUNCTION("""COMPUTED_VALUE"""),"x")</f>
        <v>x</v>
      </c>
      <c r="AC37" s="14" t="str">
        <f ca="1">IFERROR(__xludf.DUMMYFUNCTION("""COMPUTED_VALUE"""),"x")</f>
        <v>x</v>
      </c>
    </row>
    <row r="38" spans="1:29" ht="12.5" x14ac:dyDescent="0.25">
      <c r="A38" s="14" t="str">
        <f ca="1">IFERROR(__xludf.DUMMYFUNCTION("""COMPUTED_VALUE"""),"Camilla")</f>
        <v>Camilla</v>
      </c>
      <c r="B38" s="14" t="str">
        <f ca="1">IFERROR(__xludf.DUMMYFUNCTION("""COMPUTED_VALUE"""),"Boligsælgeren René Qvistgaard ")</f>
        <v xml:space="preserve">Boligsælgeren René Qvistgaard </v>
      </c>
      <c r="C38" s="14">
        <f ca="1">IFERROR(__xludf.DUMMYFUNCTION("""COMPUTED_VALUE"""),38995197)</f>
        <v>38995197</v>
      </c>
      <c r="D38" s="14" t="str">
        <f ca="1">IFERROR(__xludf.DUMMYFUNCTION("""COMPUTED_VALUE"""),"MG-SJ: 3.499,-")</f>
        <v>MG-SJ: 3.499,-</v>
      </c>
      <c r="E38" s="14">
        <f ca="1">IFERROR(__xludf.DUMMYFUNCTION("""COMPUTED_VALUE"""),1202)</f>
        <v>1202</v>
      </c>
      <c r="F38" s="14" t="str">
        <f ca="1">IFERROR(__xludf.DUMMYFUNCTION("""COMPUTED_VALUE"""),"René Qvistgaard ")</f>
        <v xml:space="preserve">René Qvistgaard </v>
      </c>
      <c r="G38" s="14" t="str">
        <f ca="1">IFERROR(__xludf.DUMMYFUNCTION("""COMPUTED_VALUE"""),"rq@boligsaelgeren.dk")</f>
        <v>rq@boligsaelgeren.dk</v>
      </c>
      <c r="H38" s="14">
        <f ca="1">IFERROR(__xludf.DUMMYFUNCTION("""COMPUTED_VALUE"""),21480618)</f>
        <v>21480618</v>
      </c>
      <c r="I38" s="14" t="str">
        <f ca="1">IFERROR(__xludf.DUMMYFUNCTION("""COMPUTED_VALUE"""),"Hovedgaden 405, st.tv")</f>
        <v>Hovedgaden 405, st.tv</v>
      </c>
      <c r="J38" s="14">
        <f ca="1">IFERROR(__xludf.DUMMYFUNCTION("""COMPUTED_VALUE"""),2640)</f>
        <v>2640</v>
      </c>
      <c r="K38" s="14" t="str">
        <f ca="1">IFERROR(__xludf.DUMMYFUNCTION("""COMPUTED_VALUE"""),"Hedehusene")</f>
        <v>Hedehusene</v>
      </c>
      <c r="L38" s="14" t="str">
        <f ca="1">IFERROR(__xludf.DUMMYFUNCTION("""COMPUTED_VALUE"""),"Høje-Taastrup")</f>
        <v>Høje-Taastrup</v>
      </c>
      <c r="M38" s="14" t="str">
        <f ca="1">IFERROR(__xludf.DUMMYFUNCTION("""COMPUTED_VALUE"""),"Københavns omegn")</f>
        <v>Københavns omegn</v>
      </c>
      <c r="N38" s="14" t="str">
        <f ca="1">IFERROR(__xludf.DUMMYFUNCTION("""COMPUTED_VALUE"""),"Hovedstaden")</f>
        <v>Hovedstaden</v>
      </c>
      <c r="O38" s="14">
        <f ca="1">IFERROR(__xludf.DUMMYFUNCTION("""COMPUTED_VALUE"""),21480618)</f>
        <v>21480618</v>
      </c>
      <c r="P38" s="14" t="str">
        <f ca="1">IFERROR(__xludf.DUMMYFUNCTION("""COMPUTED_VALUE"""),"hedehusene@boligsaelgeren.dk")</f>
        <v>hedehusene@boligsaelgeren.dk</v>
      </c>
      <c r="Q38" s="15" t="str">
        <f ca="1">IFERROR(__xludf.DUMMYFUNCTION("""COMPUTED_VALUE"""),"https://www.boliga.dk/maegler/27807")</f>
        <v>https://www.boliga.dk/maegler/27807</v>
      </c>
      <c r="R38" s="14" t="str">
        <f ca="1">IFERROR(__xludf.DUMMYFUNCTION("""COMPUTED_VALUE"""),"-")</f>
        <v>-</v>
      </c>
      <c r="S38" s="14" t="str">
        <f ca="1">IFERROR(__xludf.DUMMYFUNCTION("""COMPUTED_VALUE"""),"-")</f>
        <v>-</v>
      </c>
      <c r="T38" s="14" t="str">
        <f ca="1">IFERROR(__xludf.DUMMYFUNCTION("""COMPUTED_VALUE"""),"-")</f>
        <v>-</v>
      </c>
      <c r="U38" s="14">
        <f ca="1">IFERROR(__xludf.DUMMYFUNCTION("""COMPUTED_VALUE"""),6)</f>
        <v>6</v>
      </c>
      <c r="V38" s="14" t="str">
        <f ca="1">IFERROR(__xludf.DUMMYFUNCTION("""COMPUTED_VALUE"""),"3660, 4040, 2640")</f>
        <v>3660, 4040, 2640</v>
      </c>
      <c r="W38" s="14">
        <f ca="1">IFERROR(__xludf.DUMMYFUNCTION("""COMPUTED_VALUE"""),5)</f>
        <v>5</v>
      </c>
      <c r="X38" s="14" t="str">
        <f ca="1">IFERROR(__xludf.DUMMYFUNCTION("""COMPUTED_VALUE"""),"4000, 3650, 2640")</f>
        <v>4000, 3650, 2640</v>
      </c>
      <c r="Y38" s="14" t="str">
        <f ca="1">IFERROR(__xludf.DUMMYFUNCTION("""COMPUTED_VALUE"""),"ja")</f>
        <v>ja</v>
      </c>
      <c r="Z38" s="14"/>
      <c r="AA38" s="14"/>
      <c r="AB38" s="14" t="str">
        <f ca="1">IFERROR(__xludf.DUMMYFUNCTION("""COMPUTED_VALUE"""),"x")</f>
        <v>x</v>
      </c>
      <c r="AC38" s="14" t="str">
        <f ca="1">IFERROR(__xludf.DUMMYFUNCTION("""COMPUTED_VALUE"""),"x")</f>
        <v>x</v>
      </c>
    </row>
    <row r="39" spans="1:29" ht="12.5" x14ac:dyDescent="0.25">
      <c r="A39" s="14" t="str">
        <f ca="1">IFERROR(__xludf.DUMMYFUNCTION("""COMPUTED_VALUE"""),"Camilla")</f>
        <v>Camilla</v>
      </c>
      <c r="B39" s="14" t="str">
        <f ca="1">IFERROR(__xludf.DUMMYFUNCTION("""COMPUTED_VALUE"""),"Brikk - JY og SJ")</f>
        <v>Brikk - JY og SJ</v>
      </c>
      <c r="C39" s="14">
        <f ca="1">IFERROR(__xludf.DUMMYFUNCTION("""COMPUTED_VALUE"""),40218610)</f>
        <v>40218610</v>
      </c>
      <c r="D39" s="14" t="str">
        <f ca="1">IFERROR(__xludf.DUMMYFUNCTION("""COMPUTED_VALUE"""),"MG-JY: 2.499,-")</f>
        <v>MG-JY: 2.499,-</v>
      </c>
      <c r="E39" s="14">
        <f ca="1">IFERROR(__xludf.DUMMYFUNCTION("""COMPUTED_VALUE"""),1201)</f>
        <v>1201</v>
      </c>
      <c r="F39" s="14" t="str">
        <f ca="1">IFERROR(__xludf.DUMMYFUNCTION("""COMPUTED_VALUE"""),"Sebastian Kirscher")</f>
        <v>Sebastian Kirscher</v>
      </c>
      <c r="G39" s="14" t="str">
        <f ca="1">IFERROR(__xludf.DUMMYFUNCTION("""COMPUTED_VALUE"""),"sk@brikk.dk")</f>
        <v>sk@brikk.dk</v>
      </c>
      <c r="H39" s="14">
        <f ca="1">IFERROR(__xludf.DUMMYFUNCTION("""COMPUTED_VALUE"""),42417686)</f>
        <v>42417686</v>
      </c>
      <c r="I39" s="14" t="str">
        <f ca="1">IFERROR(__xludf.DUMMYFUNCTION("""COMPUTED_VALUE"""),"Ved Klædebo 14")</f>
        <v>Ved Klædebo 14</v>
      </c>
      <c r="J39" s="14">
        <f ca="1">IFERROR(__xludf.DUMMYFUNCTION("""COMPUTED_VALUE"""),2970)</f>
        <v>2970</v>
      </c>
      <c r="K39" s="14" t="str">
        <f ca="1">IFERROR(__xludf.DUMMYFUNCTION("""COMPUTED_VALUE"""),"Hørsholm")</f>
        <v>Hørsholm</v>
      </c>
      <c r="L39" s="14" t="str">
        <f ca="1">IFERROR(__xludf.DUMMYFUNCTION("""COMPUTED_VALUE"""),"Hørsholm")</f>
        <v>Hørsholm</v>
      </c>
      <c r="M39" s="14" t="str">
        <f ca="1">IFERROR(__xludf.DUMMYFUNCTION("""COMPUTED_VALUE"""),"Nordsjælland")</f>
        <v>Nordsjælland</v>
      </c>
      <c r="N39" s="14" t="str">
        <f ca="1">IFERROR(__xludf.DUMMYFUNCTION("""COMPUTED_VALUE"""),"Hovedstaden")</f>
        <v>Hovedstaden</v>
      </c>
      <c r="O39" s="14">
        <f ca="1">IFERROR(__xludf.DUMMYFUNCTION("""COMPUTED_VALUE"""),71999891)</f>
        <v>71999891</v>
      </c>
      <c r="P39" s="14" t="str">
        <f ca="1">IFERROR(__xludf.DUMMYFUNCTION("""COMPUTED_VALUE"""),"info@brikk.dk")</f>
        <v>info@brikk.dk</v>
      </c>
      <c r="Q39" s="15" t="str">
        <f ca="1">IFERROR(__xludf.DUMMYFUNCTION("""COMPUTED_VALUE"""),"https://www.boliga.dk/maegler/25624")</f>
        <v>https://www.boliga.dk/maegler/25624</v>
      </c>
      <c r="R39" s="14" t="str">
        <f ca="1">IFERROR(__xludf.DUMMYFUNCTION("""COMPUTED_VALUE"""),"-")</f>
        <v>-</v>
      </c>
      <c r="S39" s="14" t="str">
        <f ca="1">IFERROR(__xludf.DUMMYFUNCTION("""COMPUTED_VALUE"""),"-")</f>
        <v>-</v>
      </c>
      <c r="T39" s="14" t="str">
        <f ca="1">IFERROR(__xludf.DUMMYFUNCTION("""COMPUTED_VALUE"""),"-")</f>
        <v>-</v>
      </c>
      <c r="U39" s="14">
        <f ca="1">IFERROR(__xludf.DUMMYFUNCTION("""COMPUTED_VALUE"""),385)</f>
        <v>385</v>
      </c>
      <c r="V39" s="14" t="str">
        <f ca="1">IFERROR(__xludf.DUMMYFUNCTION("""COMPUTED_VALUE"""),"2500, 2100, 1860, 2980, 2635, 1425, 2000, 2640, 2730, 2600, 2400, 3250, 2860, 2300, 2700, 4200, 3050, 2650, 2800, 3520, 3450, 2610, 3200, 4250, 3630, 2720, 4000, 3550, 4060, 2620, 4040, 4293, 4340, 2900, 4100, 4140, 4370, 2630, 4540, 4671, 4480, 3140, 462"&amp;"2, 4220, 4571, 2660, 4683, 4700, 4600, 3230, 4760, 4360, 4621, 3370, 4871, 4780, 4684, 3300, 4892, 4400, 4872, 3460, 4900, 4873, 4880, 4070, 5600, 4500, 4970, 3500, 5690, 5450, 5220, 4160, 5750, 4532, 5492, 3650, 6240, 5620, 5900, 4300, 6630, 4652, 5932, "&amp;"4050, 6792, 5672, 6070, 4520, 6950, 4720, 6200, 4270, 7130, 5792, 6430, 4560, 7480, 6000, 6560, 4583, 7870, 5953, 6960, 4573, 8240, 6100, 7000, 4593, 8471, 6470, 7600, 4690, 8653, 6710, 7950, 4654, 8752, 6690, 8000, 4735, 9480, 6818, 8250, 4660, 8464, 670"&amp;"0, 8660, 5000, 8700, 6980, 8800, 4673, 8883, 7140, 8930, 5230, 9330, 7120, 9600, 4800, 9870, 7330, 9982, 5474, 7200, 4840, 7442, 5683, 7400, 5210, 7500, 5800, 7700, 5240, 7752, 5871, 7830, 5592, 8300, 6040, 8270, 5610, 8350, 6094, 8500, 5700, 8560, 6753, "&amp;"8600, 6230, 8832, 6840, 8751, 6280, 9560, 7100, 9000, 6330, 9440, 7182, 9800, 6580, 9850, 7323, 6640, 7860, 6800, 8260, 6990, 8340, 7430, 8400, 7441, 8541, 7673, 8543, 8585, 8840, 8765, 8882, 8870, 8920, 8900, 8970, 8940, 9200, 9210, 9230, 9340, 9240, 967"&amp;"0, 9370, 9500, 9740, 9881, 9900, 9990")</f>
        <v>2500, 2100, 1860, 2980, 2635, 1425, 2000, 2640, 2730, 2600, 2400, 3250, 2860, 2300, 2700, 4200, 3050, 2650, 2800, 3520, 3450, 2610, 3200, 4250, 3630, 2720, 4000, 3550, 4060, 2620, 4040, 4293, 4340, 2900, 4100, 4140, 4370, 2630, 4540, 4671, 4480, 3140, 4622, 4220, 4571, 2660, 4683, 4700, 4600, 3230, 4760, 4360, 4621, 3370, 4871, 4780, 4684, 3300, 4892, 4400, 4872, 3460, 4900, 4873, 4880, 4070, 5600, 4500, 4970, 3500, 5690, 5450, 5220, 4160, 5750, 4532, 5492, 3650, 6240, 5620, 5900, 4300, 6630, 4652, 5932, 4050, 6792, 5672, 6070, 4520, 6950, 4720, 6200, 4270, 7130, 5792, 6430, 4560, 7480, 6000, 6560, 4583, 7870, 5953, 6960, 4573, 8240, 6100, 7000, 4593, 8471, 6470, 7600, 4690, 8653, 6710, 7950, 4654, 8752, 6690, 8000, 4735, 9480, 6818, 8250, 4660, 8464, 6700, 8660, 5000, 8700, 6980, 8800, 4673, 8883, 7140, 8930, 5230, 9330, 7120, 9600, 4800, 9870, 7330, 9982, 5474, 7200, 4840, 7442, 5683, 7400, 5210, 7500, 5800, 7700, 5240, 7752, 5871, 7830, 5592, 8300, 6040, 8270, 5610, 8350, 6094, 8500, 5700, 8560, 6753, 8600, 6230, 8832, 6840, 8751, 6280, 9560, 7100, 9000, 6330, 9440, 7182, 9800, 6580, 9850, 7323, 6640, 7860, 6800, 8260, 6990, 8340, 7430, 8400, 7441, 8541, 7673, 8543, 8585, 8840, 8765, 8882, 8870, 8920, 8900, 8970, 8940, 9200, 9210, 9230, 9340, 9240, 9670, 9370, 9500, 9740, 9881, 9900, 9990</v>
      </c>
      <c r="W39" s="14">
        <f ca="1">IFERROR(__xludf.DUMMYFUNCTION("""COMPUTED_VALUE"""),234)</f>
        <v>234</v>
      </c>
      <c r="X39" s="14" t="str">
        <f ca="1">IFERROR(__xludf.DUMMYFUNCTION("""COMPUTED_VALUE"""),"2500, 1666, 2400, 1657, 2635, 2830, 2700, 2300, 2765, 3520, 2970, 2100, 2770, 2920, 3200, 2610, 2820, 3550, 3600, 2200, 2860, 3310, 4000, 2620, 3050, 4140, 4040, 2600, 3400, 3480, 4100, 2630, 3450, 4180, 4130, 2650, 3630, 4200, 4296, 3460, 4340, 4220, 476"&amp;"0, 2720, 4571, 4261, 5260, 3500, 4623, 4400, 5600, 2900, 4653, 4534, 6950, 4050, 5220, 4440, 7080, 3230, 5492, 4700, 7470, 4230, 5900, 4500, 7840, 4070, 7000, 4793, 8240, 4583, 7280, 4532, 8410, 4300, 7362, 4873, 9400, 4660, 8000, 4591, 9631, 4420, 8250, "&amp;"5270, 8586, 4800, 8660, 4720, 8700, 4682, 8723, 5450, 8800, 4840, 8930, 4733, 9870, 4862, 5471, 5592, 4850, 5000, 5485, 5610, 4913, 5683, 5620, 7800, 5250, 5800, 5672, 8420, 6000, 6753, 5762, 8850, 6715, 6840, 5792, 8870, 6818, 6893, 5953, 8940, 6900, 710"&amp;"0, 6510, 9310, 7160, 7190, 6880, 8400, 7400, 8543, 7442, 8920, 7700, 8970, 8220, 9200, 8362, 9690, 8300, 9900, 8600, 8382, 9000, 8620, 9490, 8721, 8740")</f>
        <v>2500, 1666, 2400, 1657, 2635, 2830, 2700, 2300, 2765, 3520, 2970, 2100, 2770, 2920, 3200, 2610, 2820, 3550, 3600, 2200, 2860, 3310, 4000, 2620, 3050, 4140, 4040, 2600, 3400, 3480, 4100, 2630, 3450, 4180, 4130, 2650, 3630, 4200, 4296, 3460, 4340, 4220, 4760, 2720, 4571, 4261, 5260, 3500, 4623, 4400, 5600, 2900, 4653, 4534, 6950, 4050, 5220, 4440, 7080, 3230, 5492, 4700, 7470, 4230, 5900, 4500, 7840, 4070, 7000, 4793, 8240, 4583, 7280, 4532, 8410, 4300, 7362, 4873, 9400, 4660, 8000, 4591, 9631, 4420, 8250, 5270, 8586, 4800, 8660, 4720, 8700, 4682, 8723, 5450, 8800, 4840, 8930, 4733, 9870, 4862, 5471, 5592, 4850, 5000, 5485, 5610, 4913, 5683, 5620, 7800, 5250, 5800, 5672, 8420, 6000, 6753, 5762, 8850, 6715, 6840, 5792, 8870, 6818, 6893, 5953, 8940, 6900, 7100, 6510, 9310, 7160, 7190, 6880, 8400, 7400, 8543, 7442, 8920, 7700, 8970, 8220, 9200, 8362, 9690, 8300, 9900, 8600, 8382, 9000, 8620, 9490, 8721, 8740</v>
      </c>
      <c r="Y39" s="14" t="str">
        <f ca="1">IFERROR(__xludf.DUMMYFUNCTION("""COMPUTED_VALUE"""),"ja")</f>
        <v>ja</v>
      </c>
      <c r="Z39" s="14"/>
      <c r="AA39" s="14"/>
      <c r="AB39" s="14" t="str">
        <f ca="1">IFERROR(__xludf.DUMMYFUNCTION("""COMPUTED_VALUE"""),"x")</f>
        <v>x</v>
      </c>
      <c r="AC39" s="14" t="str">
        <f ca="1">IFERROR(__xludf.DUMMYFUNCTION("""COMPUTED_VALUE"""),"x")</f>
        <v>x</v>
      </c>
    </row>
    <row r="40" spans="1:29" ht="12.5" x14ac:dyDescent="0.25">
      <c r="A40" s="14" t="str">
        <f ca="1">IFERROR(__xludf.DUMMYFUNCTION("""COMPUTED_VALUE"""),"Camilla")</f>
        <v>Camilla</v>
      </c>
      <c r="B40" s="14" t="str">
        <f ca="1">IFERROR(__xludf.DUMMYFUNCTION("""COMPUTED_VALUE"""),"CARLSSON LIVING")</f>
        <v>CARLSSON LIVING</v>
      </c>
      <c r="C40" s="14">
        <f ca="1">IFERROR(__xludf.DUMMYFUNCTION("""COMPUTED_VALUE"""),31574633)</f>
        <v>31574633</v>
      </c>
      <c r="D40" s="14" t="str">
        <f ca="1">IFERROR(__xludf.DUMMYFUNCTION("""COMPUTED_VALUE"""),"MG-SJ: 3.499,-")</f>
        <v>MG-SJ: 3.499,-</v>
      </c>
      <c r="E40" s="14">
        <f ca="1">IFERROR(__xludf.DUMMYFUNCTION("""COMPUTED_VALUE"""),1202)</f>
        <v>1202</v>
      </c>
      <c r="F40" s="14" t="str">
        <f ca="1">IFERROR(__xludf.DUMMYFUNCTION("""COMPUTED_VALUE"""),"Daniel Carlsson")</f>
        <v>Daniel Carlsson</v>
      </c>
      <c r="G40" s="15" t="str">
        <f ca="1">IFERROR(__xludf.DUMMYFUNCTION("""COMPUTED_VALUE"""),"dc@carlssonliving.dk")</f>
        <v>dc@carlssonliving.dk</v>
      </c>
      <c r="H40" s="14">
        <f ca="1">IFERROR(__xludf.DUMMYFUNCTION("""COMPUTED_VALUE"""),28300323)</f>
        <v>28300323</v>
      </c>
      <c r="I40" s="14" t="str">
        <f ca="1">IFERROR(__xludf.DUMMYFUNCTION("""COMPUTED_VALUE"""),"Baneskellet 3")</f>
        <v>Baneskellet 3</v>
      </c>
      <c r="J40" s="14">
        <f ca="1">IFERROR(__xludf.DUMMYFUNCTION("""COMPUTED_VALUE"""),2950)</f>
        <v>2950</v>
      </c>
      <c r="K40" s="14" t="str">
        <f ca="1">IFERROR(__xludf.DUMMYFUNCTION("""COMPUTED_VALUE"""),"Vedbæk")</f>
        <v>Vedbæk</v>
      </c>
      <c r="L40" s="14" t="str">
        <f ca="1">IFERROR(__xludf.DUMMYFUNCTION("""COMPUTED_VALUE"""),"Rudersdal")</f>
        <v>Rudersdal</v>
      </c>
      <c r="M40" s="14" t="str">
        <f ca="1">IFERROR(__xludf.DUMMYFUNCTION("""COMPUTED_VALUE"""),"Nordsjælland")</f>
        <v>Nordsjælland</v>
      </c>
      <c r="N40" s="14" t="str">
        <f ca="1">IFERROR(__xludf.DUMMYFUNCTION("""COMPUTED_VALUE"""),"Hovedstaden")</f>
        <v>Hovedstaden</v>
      </c>
      <c r="O40" s="14">
        <f ca="1">IFERROR(__xludf.DUMMYFUNCTION("""COMPUTED_VALUE"""),70701045)</f>
        <v>70701045</v>
      </c>
      <c r="P40" s="14" t="str">
        <f ca="1">IFERROR(__xludf.DUMMYFUNCTION("""COMPUTED_VALUE"""),"mail@carlssonliving.dk")</f>
        <v>mail@carlssonliving.dk</v>
      </c>
      <c r="Q40" s="15" t="str">
        <f ca="1">IFERROR(__xludf.DUMMYFUNCTION("""COMPUTED_VALUE"""),"https://www.boliga.dk/maegler/26473")</f>
        <v>https://www.boliga.dk/maegler/26473</v>
      </c>
      <c r="R40" s="14" t="str">
        <f ca="1">IFERROR(__xludf.DUMMYFUNCTION("""COMPUTED_VALUE"""),"-")</f>
        <v>-</v>
      </c>
      <c r="S40" s="14" t="str">
        <f ca="1">IFERROR(__xludf.DUMMYFUNCTION("""COMPUTED_VALUE"""),"-")</f>
        <v>-</v>
      </c>
      <c r="T40" s="14" t="str">
        <f ca="1">IFERROR(__xludf.DUMMYFUNCTION("""COMPUTED_VALUE"""),"-")</f>
        <v>-</v>
      </c>
      <c r="U40" s="14">
        <f ca="1">IFERROR(__xludf.DUMMYFUNCTION("""COMPUTED_VALUE"""),8)</f>
        <v>8</v>
      </c>
      <c r="V40" s="14" t="str">
        <f ca="1">IFERROR(__xludf.DUMMYFUNCTION("""COMPUTED_VALUE"""),"2970, 2950, 2100, 3490")</f>
        <v>2970, 2950, 2100, 3490</v>
      </c>
      <c r="W40" s="14">
        <f ca="1">IFERROR(__xludf.DUMMYFUNCTION("""COMPUTED_VALUE"""),3)</f>
        <v>3</v>
      </c>
      <c r="X40" s="14" t="str">
        <f ca="1">IFERROR(__xludf.DUMMYFUNCTION("""COMPUTED_VALUE"""),"2100, 2990, 2970")</f>
        <v>2100, 2990, 2970</v>
      </c>
      <c r="Y40" s="14" t="str">
        <f ca="1">IFERROR(__xludf.DUMMYFUNCTION("""COMPUTED_VALUE"""),"ja")</f>
        <v>ja</v>
      </c>
      <c r="Z40" s="14"/>
      <c r="AA40" s="14"/>
      <c r="AB40" s="14" t="str">
        <f ca="1">IFERROR(__xludf.DUMMYFUNCTION("""COMPUTED_VALUE"""),"x")</f>
        <v>x</v>
      </c>
      <c r="AC40" s="14" t="str">
        <f ca="1">IFERROR(__xludf.DUMMYFUNCTION("""COMPUTED_VALUE"""),"x")</f>
        <v>x</v>
      </c>
    </row>
    <row r="41" spans="1:29" ht="12.5" x14ac:dyDescent="0.25">
      <c r="A41" s="14" t="str">
        <f ca="1">IFERROR(__xludf.DUMMYFUNCTION("""COMPUTED_VALUE"""),"Camilla")</f>
        <v>Camilla</v>
      </c>
      <c r="B41" s="14" t="str">
        <f ca="1">IFERROR(__xludf.DUMMYFUNCTION("""COMPUTED_VALUE"""),"Claus Borg &amp; Partner")</f>
        <v>Claus Borg &amp; Partner</v>
      </c>
      <c r="C41" s="14">
        <f ca="1">IFERROR(__xludf.DUMMYFUNCTION("""COMPUTED_VALUE"""),28884583)</f>
        <v>28884583</v>
      </c>
      <c r="D41" s="14" t="str">
        <f ca="1">IFERROR(__xludf.DUMMYFUNCTION("""COMPUTED_VALUE"""),"MG-SJ: 3.499,-")</f>
        <v>MG-SJ: 3.499,-</v>
      </c>
      <c r="E41" s="14">
        <f ca="1">IFERROR(__xludf.DUMMYFUNCTION("""COMPUTED_VALUE"""),1202)</f>
        <v>1202</v>
      </c>
      <c r="F41" s="14" t="str">
        <f ca="1">IFERROR(__xludf.DUMMYFUNCTION("""COMPUTED_VALUE"""),"Søren Heilesen")</f>
        <v>Søren Heilesen</v>
      </c>
      <c r="G41" s="14" t="str">
        <f ca="1">IFERROR(__xludf.DUMMYFUNCTION("""COMPUTED_VALUE"""),"sh@claus-borg.dk")</f>
        <v>sh@claus-borg.dk</v>
      </c>
      <c r="H41" s="14">
        <f ca="1">IFERROR(__xludf.DUMMYFUNCTION("""COMPUTED_VALUE"""),40521444)</f>
        <v>40521444</v>
      </c>
      <c r="I41" s="14" t="str">
        <f ca="1">IFERROR(__xludf.DUMMYFUNCTION("""COMPUTED_VALUE"""),"Skovvej 2")</f>
        <v>Skovvej 2</v>
      </c>
      <c r="J41" s="14">
        <f ca="1">IFERROR(__xludf.DUMMYFUNCTION("""COMPUTED_VALUE"""),2930)</f>
        <v>2930</v>
      </c>
      <c r="K41" s="14" t="str">
        <f ca="1">IFERROR(__xludf.DUMMYFUNCTION("""COMPUTED_VALUE"""),"Klampenborg")</f>
        <v>Klampenborg</v>
      </c>
      <c r="L41" s="14" t="str">
        <f ca="1">IFERROR(__xludf.DUMMYFUNCTION("""COMPUTED_VALUE"""),"Gentofte")</f>
        <v>Gentofte</v>
      </c>
      <c r="M41" s="14" t="str">
        <f ca="1">IFERROR(__xludf.DUMMYFUNCTION("""COMPUTED_VALUE"""),"Københavns omegn")</f>
        <v>Københavns omegn</v>
      </c>
      <c r="N41" s="14" t="str">
        <f ca="1">IFERROR(__xludf.DUMMYFUNCTION("""COMPUTED_VALUE"""),"Hovedstaden")</f>
        <v>Hovedstaden</v>
      </c>
      <c r="O41" s="14">
        <f ca="1">IFERROR(__xludf.DUMMYFUNCTION("""COMPUTED_VALUE"""),39640252)</f>
        <v>39640252</v>
      </c>
      <c r="P41" s="14" t="str">
        <f ca="1">IFERROR(__xludf.DUMMYFUNCTION("""COMPUTED_VALUE"""),"cbe@claus-borg.dk")</f>
        <v>cbe@claus-borg.dk</v>
      </c>
      <c r="Q41" s="15" t="str">
        <f ca="1">IFERROR(__xludf.DUMMYFUNCTION("""COMPUTED_VALUE"""),"https://www.boliga.dk/maegler/26472")</f>
        <v>https://www.boliga.dk/maegler/26472</v>
      </c>
      <c r="R41" s="14" t="str">
        <f ca="1">IFERROR(__xludf.DUMMYFUNCTION("""COMPUTED_VALUE"""),"-")</f>
        <v>-</v>
      </c>
      <c r="S41" s="14" t="str">
        <f ca="1">IFERROR(__xludf.DUMMYFUNCTION("""COMPUTED_VALUE"""),"-")</f>
        <v>-</v>
      </c>
      <c r="T41" s="14" t="str">
        <f ca="1">IFERROR(__xludf.DUMMYFUNCTION("""COMPUTED_VALUE"""),"-")</f>
        <v>-</v>
      </c>
      <c r="U41" s="14">
        <f ca="1">IFERROR(__xludf.DUMMYFUNCTION("""COMPUTED_VALUE"""),15)</f>
        <v>15</v>
      </c>
      <c r="V41" s="14" t="str">
        <f ca="1">IFERROR(__xludf.DUMMYFUNCTION("""COMPUTED_VALUE"""),"2450, 1414, 1472, 2100, 8592, 2930, 2920, 2900, 3050, 3300")</f>
        <v>2450, 1414, 1472, 2100, 8592, 2930, 2920, 2900, 3050, 3300</v>
      </c>
      <c r="W41" s="14">
        <f ca="1">IFERROR(__xludf.DUMMYFUNCTION("""COMPUTED_VALUE"""),14)</f>
        <v>14</v>
      </c>
      <c r="X41" s="14" t="str">
        <f ca="1">IFERROR(__xludf.DUMMYFUNCTION("""COMPUTED_VALUE"""),"1253, 2900, 1401, 2100, 1561, 2930, 3250, 2920, 4900")</f>
        <v>1253, 2900, 1401, 2100, 1561, 2930, 3250, 2920, 4900</v>
      </c>
      <c r="Y41" s="14" t="str">
        <f ca="1">IFERROR(__xludf.DUMMYFUNCTION("""COMPUTED_VALUE"""),"ja")</f>
        <v>ja</v>
      </c>
      <c r="Z41" s="14"/>
      <c r="AA41" s="14"/>
      <c r="AB41" s="14" t="str">
        <f ca="1">IFERROR(__xludf.DUMMYFUNCTION("""COMPUTED_VALUE"""),"x")</f>
        <v>x</v>
      </c>
      <c r="AC41" s="14" t="str">
        <f ca="1">IFERROR(__xludf.DUMMYFUNCTION("""COMPUTED_VALUE"""),"x")</f>
        <v>x</v>
      </c>
    </row>
    <row r="42" spans="1:29" ht="12.5" x14ac:dyDescent="0.25">
      <c r="A42" s="14" t="str">
        <f ca="1">IFERROR(__xludf.DUMMYFUNCTION("""COMPUTED_VALUE"""),"Camilla")</f>
        <v>Camilla</v>
      </c>
      <c r="B42" s="14" t="str">
        <f ca="1">IFERROR(__xludf.DUMMYFUNCTION("""COMPUTED_VALUE"""),"Ejendomsmægler Camilla Lindhard")</f>
        <v>Ejendomsmægler Camilla Lindhard</v>
      </c>
      <c r="C42" s="14">
        <f ca="1">IFERROR(__xludf.DUMMYFUNCTION("""COMPUTED_VALUE"""),38580949)</f>
        <v>38580949</v>
      </c>
      <c r="D42" s="14" t="str">
        <f ca="1">IFERROR(__xludf.DUMMYFUNCTION("""COMPUTED_VALUE"""),"MG-SJ: 3.499,-")</f>
        <v>MG-SJ: 3.499,-</v>
      </c>
      <c r="E42" s="14">
        <f ca="1">IFERROR(__xludf.DUMMYFUNCTION("""COMPUTED_VALUE"""),1202)</f>
        <v>1202</v>
      </c>
      <c r="F42" s="14" t="str">
        <f ca="1">IFERROR(__xludf.DUMMYFUNCTION("""COMPUTED_VALUE"""),"Camilla Lindhard")</f>
        <v>Camilla Lindhard</v>
      </c>
      <c r="G42" s="14" t="str">
        <f ca="1">IFERROR(__xludf.DUMMYFUNCTION("""COMPUTED_VALUE"""),"info@camillalindhard.dk")</f>
        <v>info@camillalindhard.dk</v>
      </c>
      <c r="H42" s="14">
        <f ca="1">IFERROR(__xludf.DUMMYFUNCTION("""COMPUTED_VALUE"""),22859595)</f>
        <v>22859595</v>
      </c>
      <c r="I42" s="14" t="str">
        <f ca="1">IFERROR(__xludf.DUMMYFUNCTION("""COMPUTED_VALUE"""),"Vesterbrogade 144B, st.tv")</f>
        <v>Vesterbrogade 144B, st.tv</v>
      </c>
      <c r="J42" s="14">
        <f ca="1">IFERROR(__xludf.DUMMYFUNCTION("""COMPUTED_VALUE"""),1620)</f>
        <v>1620</v>
      </c>
      <c r="K42" s="14" t="str">
        <f ca="1">IFERROR(__xludf.DUMMYFUNCTION("""COMPUTED_VALUE"""),"København V")</f>
        <v>København V</v>
      </c>
      <c r="L42" s="14" t="str">
        <f ca="1">IFERROR(__xludf.DUMMYFUNCTION("""COMPUTED_VALUE"""),"København")</f>
        <v>København</v>
      </c>
      <c r="M42" s="14" t="str">
        <f ca="1">IFERROR(__xludf.DUMMYFUNCTION("""COMPUTED_VALUE"""),"København By")</f>
        <v>København By</v>
      </c>
      <c r="N42" s="14" t="str">
        <f ca="1">IFERROR(__xludf.DUMMYFUNCTION("""COMPUTED_VALUE"""),"Hovedstaden")</f>
        <v>Hovedstaden</v>
      </c>
      <c r="O42" s="14">
        <f ca="1">IFERROR(__xludf.DUMMYFUNCTION("""COMPUTED_VALUE"""),22859595)</f>
        <v>22859595</v>
      </c>
      <c r="P42" s="14" t="str">
        <f ca="1">IFERROR(__xludf.DUMMYFUNCTION("""COMPUTED_VALUE"""),"info@camillalindhard.dk")</f>
        <v>info@camillalindhard.dk</v>
      </c>
      <c r="Q42" s="15" t="str">
        <f ca="1">IFERROR(__xludf.DUMMYFUNCTION("""COMPUTED_VALUE"""),"https://www.boliga.dk/maegler/25432")</f>
        <v>https://www.boliga.dk/maegler/25432</v>
      </c>
      <c r="R42" s="14" t="str">
        <f ca="1">IFERROR(__xludf.DUMMYFUNCTION("""COMPUTED_VALUE"""),"-")</f>
        <v>-</v>
      </c>
      <c r="S42" s="14" t="str">
        <f ca="1">IFERROR(__xludf.DUMMYFUNCTION("""COMPUTED_VALUE"""),"-")</f>
        <v>-</v>
      </c>
      <c r="T42" s="14" t="str">
        <f ca="1">IFERROR(__xludf.DUMMYFUNCTION("""COMPUTED_VALUE"""),"-")</f>
        <v>-</v>
      </c>
      <c r="U42" s="14">
        <f ca="1">IFERROR(__xludf.DUMMYFUNCTION("""COMPUTED_VALUE"""),11)</f>
        <v>11</v>
      </c>
      <c r="V42" s="14" t="str">
        <f ca="1">IFERROR(__xludf.DUMMYFUNCTION("""COMPUTED_VALUE"""),"1364, 4100, 1674, 2500, 2300")</f>
        <v>1364, 4100, 1674, 2500, 2300</v>
      </c>
      <c r="W42" s="14">
        <f ca="1">IFERROR(__xludf.DUMMYFUNCTION("""COMPUTED_VALUE"""),10)</f>
        <v>10</v>
      </c>
      <c r="X42" s="14" t="str">
        <f ca="1">IFERROR(__xludf.DUMMYFUNCTION("""COMPUTED_VALUE"""),"1364, 1666, 2920, 2100, 1674, 2200, 3000, 3400, 2300")</f>
        <v>1364, 1666, 2920, 2100, 1674, 2200, 3000, 3400, 2300</v>
      </c>
      <c r="Y42" s="14" t="str">
        <f ca="1">IFERROR(__xludf.DUMMYFUNCTION("""COMPUTED_VALUE"""),"ja")</f>
        <v>ja</v>
      </c>
      <c r="Z42" s="14"/>
      <c r="AA42" s="14"/>
      <c r="AB42" s="14" t="str">
        <f ca="1">IFERROR(__xludf.DUMMYFUNCTION("""COMPUTED_VALUE"""),"x")</f>
        <v>x</v>
      </c>
      <c r="AC42" s="14" t="str">
        <f ca="1">IFERROR(__xludf.DUMMYFUNCTION("""COMPUTED_VALUE"""),"x")</f>
        <v>x</v>
      </c>
    </row>
    <row r="43" spans="1:29" ht="12.5" x14ac:dyDescent="0.25">
      <c r="A43" s="14" t="str">
        <f ca="1">IFERROR(__xludf.DUMMYFUNCTION("""COMPUTED_VALUE"""),"Camilla")</f>
        <v>Camilla</v>
      </c>
      <c r="B43" s="14" t="str">
        <f ca="1">IFERROR(__xludf.DUMMYFUNCTION("""COMPUTED_VALUE"""),"Ejendomsmægler Irving Jensen &amp; Co.")</f>
        <v>Ejendomsmægler Irving Jensen &amp; Co.</v>
      </c>
      <c r="C43" s="14">
        <f ca="1">IFERROR(__xludf.DUMMYFUNCTION("""COMPUTED_VALUE"""),40707174)</f>
        <v>40707174</v>
      </c>
      <c r="D43" s="14" t="str">
        <f ca="1">IFERROR(__xludf.DUMMYFUNCTION("""COMPUTED_VALUE"""),"MG-SJ: 3.499,-")</f>
        <v>MG-SJ: 3.499,-</v>
      </c>
      <c r="E43" s="14">
        <f ca="1">IFERROR(__xludf.DUMMYFUNCTION("""COMPUTED_VALUE"""),1202)</f>
        <v>1202</v>
      </c>
      <c r="F43" s="14" t="str">
        <f ca="1">IFERROR(__xludf.DUMMYFUNCTION("""COMPUTED_VALUE"""),"Anne Jensen")</f>
        <v>Anne Jensen</v>
      </c>
      <c r="G43" s="14" t="str">
        <f ca="1">IFERROR(__xludf.DUMMYFUNCTION("""COMPUTED_VALUE"""),"anne@irvingjensen.dk")</f>
        <v>anne@irvingjensen.dk</v>
      </c>
      <c r="H43" s="14">
        <f ca="1">IFERROR(__xludf.DUMMYFUNCTION("""COMPUTED_VALUE"""),40738223)</f>
        <v>40738223</v>
      </c>
      <c r="I43" s="14" t="str">
        <f ca="1">IFERROR(__xludf.DUMMYFUNCTION("""COMPUTED_VALUE"""),"Godthåbsvej 45")</f>
        <v>Godthåbsvej 45</v>
      </c>
      <c r="J43" s="14">
        <f ca="1">IFERROR(__xludf.DUMMYFUNCTION("""COMPUTED_VALUE"""),2000)</f>
        <v>2000</v>
      </c>
      <c r="K43" s="14" t="str">
        <f ca="1">IFERROR(__xludf.DUMMYFUNCTION("""COMPUTED_VALUE"""),"Frederiksberg")</f>
        <v>Frederiksberg</v>
      </c>
      <c r="L43" s="14" t="str">
        <f ca="1">IFERROR(__xludf.DUMMYFUNCTION("""COMPUTED_VALUE"""),"Frederiksberg")</f>
        <v>Frederiksberg</v>
      </c>
      <c r="M43" s="14" t="str">
        <f ca="1">IFERROR(__xludf.DUMMYFUNCTION("""COMPUTED_VALUE"""),"København By")</f>
        <v>København By</v>
      </c>
      <c r="N43" s="14" t="str">
        <f ca="1">IFERROR(__xludf.DUMMYFUNCTION("""COMPUTED_VALUE"""),"Hovedstaden")</f>
        <v>Hovedstaden</v>
      </c>
      <c r="O43" s="14">
        <f ca="1">IFERROR(__xludf.DUMMYFUNCTION("""COMPUTED_VALUE"""),38880244)</f>
        <v>38880244</v>
      </c>
      <c r="P43" s="14" t="str">
        <f ca="1">IFERROR(__xludf.DUMMYFUNCTION("""COMPUTED_VALUE"""),"Info@irvingjensen.dk")</f>
        <v>Info@irvingjensen.dk</v>
      </c>
      <c r="Q43" s="15" t="str">
        <f ca="1">IFERROR(__xludf.DUMMYFUNCTION("""COMPUTED_VALUE"""),"https://www.boliga.dk/maegler/17194")</f>
        <v>https://www.boliga.dk/maegler/17194</v>
      </c>
      <c r="R43" s="14" t="str">
        <f ca="1">IFERROR(__xludf.DUMMYFUNCTION("""COMPUTED_VALUE"""),"-")</f>
        <v>-</v>
      </c>
      <c r="S43" s="14" t="str">
        <f ca="1">IFERROR(__xludf.DUMMYFUNCTION("""COMPUTED_VALUE"""),"-")</f>
        <v>-</v>
      </c>
      <c r="T43" s="14" t="str">
        <f ca="1">IFERROR(__xludf.DUMMYFUNCTION("""COMPUTED_VALUE"""),"-")</f>
        <v>-</v>
      </c>
      <c r="U43" s="14">
        <f ca="1">IFERROR(__xludf.DUMMYFUNCTION("""COMPUTED_VALUE"""),9)</f>
        <v>9</v>
      </c>
      <c r="V43" s="14" t="str">
        <f ca="1">IFERROR(__xludf.DUMMYFUNCTION("""COMPUTED_VALUE"""),"2450, 2400, 2300, 2700, 2920, 2800, 3120")</f>
        <v>2450, 2400, 2300, 2700, 2920, 2800, 3120</v>
      </c>
      <c r="W43" s="14">
        <f ca="1">IFERROR(__xludf.DUMMYFUNCTION("""COMPUTED_VALUE"""),11)</f>
        <v>11</v>
      </c>
      <c r="X43" s="14" t="str">
        <f ca="1">IFERROR(__xludf.DUMMYFUNCTION("""COMPUTED_VALUE"""),"2000, 1313, 2500, 2400, 2860, 2100")</f>
        <v>2000, 1313, 2500, 2400, 2860, 2100</v>
      </c>
      <c r="Y43" s="14" t="str">
        <f ca="1">IFERROR(__xludf.DUMMYFUNCTION("""COMPUTED_VALUE"""),"ja")</f>
        <v>ja</v>
      </c>
      <c r="Z43" s="14"/>
      <c r="AA43" s="14"/>
      <c r="AB43" s="14" t="str">
        <f ca="1">IFERROR(__xludf.DUMMYFUNCTION("""COMPUTED_VALUE"""),"x")</f>
        <v>x</v>
      </c>
      <c r="AC43" s="14" t="str">
        <f ca="1">IFERROR(__xludf.DUMMYFUNCTION("""COMPUTED_VALUE"""),"x")</f>
        <v>x</v>
      </c>
    </row>
    <row r="44" spans="1:29" ht="12.5" x14ac:dyDescent="0.25">
      <c r="A44" s="14" t="str">
        <f ca="1">IFERROR(__xludf.DUMMYFUNCTION("""COMPUTED_VALUE"""),"Camilla")</f>
        <v>Camilla</v>
      </c>
      <c r="B44" s="14" t="str">
        <f ca="1">IFERROR(__xludf.DUMMYFUNCTION("""COMPUTED_VALUE"""),"Ejendomsmæglerfirmaet Jakob Munk-Petersen")</f>
        <v>Ejendomsmæglerfirmaet Jakob Munk-Petersen</v>
      </c>
      <c r="C44" s="14">
        <f ca="1">IFERROR(__xludf.DUMMYFUNCTION("""COMPUTED_VALUE"""),41329211)</f>
        <v>41329211</v>
      </c>
      <c r="D44" s="14" t="str">
        <f ca="1">IFERROR(__xludf.DUMMYFUNCTION("""COMPUTED_VALUE"""),"MG-SJ: 3.499,-")</f>
        <v>MG-SJ: 3.499,-</v>
      </c>
      <c r="E44" s="14">
        <f ca="1">IFERROR(__xludf.DUMMYFUNCTION("""COMPUTED_VALUE"""),1202)</f>
        <v>1202</v>
      </c>
      <c r="F44" s="14" t="str">
        <f ca="1">IFERROR(__xludf.DUMMYFUNCTION("""COMPUTED_VALUE"""),"Jakob Petersen")</f>
        <v>Jakob Petersen</v>
      </c>
      <c r="G44" s="15" t="str">
        <f ca="1">IFERROR(__xludf.DUMMYFUNCTION("""COMPUTED_VALUE"""),"info@jakobmunk-petersen.dk")</f>
        <v>info@jakobmunk-petersen.dk</v>
      </c>
      <c r="H44" s="14">
        <f ca="1">IFERROR(__xludf.DUMMYFUNCTION("""COMPUTED_VALUE"""),61273687)</f>
        <v>61273687</v>
      </c>
      <c r="I44" s="14" t="str">
        <f ca="1">IFERROR(__xludf.DUMMYFUNCTION("""COMPUTED_VALUE"""),"Bundsvej 42")</f>
        <v>Bundsvej 42</v>
      </c>
      <c r="J44" s="14">
        <f ca="1">IFERROR(__xludf.DUMMYFUNCTION("""COMPUTED_VALUE"""),3660)</f>
        <v>3660</v>
      </c>
      <c r="K44" s="14" t="str">
        <f ca="1">IFERROR(__xludf.DUMMYFUNCTION("""COMPUTED_VALUE"""),"Stenløse")</f>
        <v>Stenløse</v>
      </c>
      <c r="L44" s="14" t="str">
        <f ca="1">IFERROR(__xludf.DUMMYFUNCTION("""COMPUTED_VALUE"""),"Egedal")</f>
        <v>Egedal</v>
      </c>
      <c r="M44" s="14" t="str">
        <f ca="1">IFERROR(__xludf.DUMMYFUNCTION("""COMPUTED_VALUE"""),"Nordsjælland")</f>
        <v>Nordsjælland</v>
      </c>
      <c r="N44" s="14" t="str">
        <f ca="1">IFERROR(__xludf.DUMMYFUNCTION("""COMPUTED_VALUE"""),"Hovedstaden")</f>
        <v>Hovedstaden</v>
      </c>
      <c r="O44" s="14">
        <f ca="1">IFERROR(__xludf.DUMMYFUNCTION("""COMPUTED_VALUE"""),61273687)</f>
        <v>61273687</v>
      </c>
      <c r="P44" s="14" t="str">
        <f ca="1">IFERROR(__xludf.DUMMYFUNCTION("""COMPUTED_VALUE"""),"info@jakobmunk-petersen.net")</f>
        <v>info@jakobmunk-petersen.net</v>
      </c>
      <c r="Q44" s="15" t="str">
        <f ca="1">IFERROR(__xludf.DUMMYFUNCTION("""COMPUTED_VALUE"""),"https://www.boliga.dk/maegler/28697")</f>
        <v>https://www.boliga.dk/maegler/28697</v>
      </c>
      <c r="R44" s="14" t="str">
        <f ca="1">IFERROR(__xludf.DUMMYFUNCTION("""COMPUTED_VALUE"""),"-")</f>
        <v>-</v>
      </c>
      <c r="S44" s="14" t="str">
        <f ca="1">IFERROR(__xludf.DUMMYFUNCTION("""COMPUTED_VALUE"""),"-")</f>
        <v>-</v>
      </c>
      <c r="T44" s="14" t="str">
        <f ca="1">IFERROR(__xludf.DUMMYFUNCTION("""COMPUTED_VALUE"""),"-")</f>
        <v>-</v>
      </c>
      <c r="U44" s="14">
        <f ca="1">IFERROR(__xludf.DUMMYFUNCTION("""COMPUTED_VALUE"""),1)</f>
        <v>1</v>
      </c>
      <c r="V44" s="14">
        <f ca="1">IFERROR(__xludf.DUMMYFUNCTION("""COMPUTED_VALUE"""),2942)</f>
        <v>2942</v>
      </c>
      <c r="W44" s="14">
        <f ca="1">IFERROR(__xludf.DUMMYFUNCTION("""COMPUTED_VALUE"""),2)</f>
        <v>2</v>
      </c>
      <c r="X44" s="14" t="str">
        <f ca="1">IFERROR(__xludf.DUMMYFUNCTION("""COMPUTED_VALUE"""),"2830, 2960")</f>
        <v>2830, 2960</v>
      </c>
      <c r="Y44" s="14" t="str">
        <f ca="1">IFERROR(__xludf.DUMMYFUNCTION("""COMPUTED_VALUE"""),"ja")</f>
        <v>ja</v>
      </c>
      <c r="Z44" s="14"/>
      <c r="AA44" s="14"/>
      <c r="AB44" s="14" t="str">
        <f ca="1">IFERROR(__xludf.DUMMYFUNCTION("""COMPUTED_VALUE"""),"x")</f>
        <v>x</v>
      </c>
      <c r="AC44" s="14" t="str">
        <f ca="1">IFERROR(__xludf.DUMMYFUNCTION("""COMPUTED_VALUE"""),"x")</f>
        <v>x</v>
      </c>
    </row>
    <row r="45" spans="1:29" ht="12.5" x14ac:dyDescent="0.25">
      <c r="A45" s="14" t="str">
        <f ca="1">IFERROR(__xludf.DUMMYFUNCTION("""COMPUTED_VALUE"""),"Camilla")</f>
        <v>Camilla</v>
      </c>
      <c r="B45" s="14" t="str">
        <f ca="1">IFERROR(__xludf.DUMMYFUNCTION("""COMPUTED_VALUE"""),"Ejendomsmæglerfirmaet Jesper Nielsen, Kgs. Lyngby")</f>
        <v>Ejendomsmæglerfirmaet Jesper Nielsen, Kgs. Lyngby</v>
      </c>
      <c r="C45" s="14">
        <f ca="1">IFERROR(__xludf.DUMMYFUNCTION("""COMPUTED_VALUE"""),36972238)</f>
        <v>36972238</v>
      </c>
      <c r="D45" s="14" t="str">
        <f ca="1">IFERROR(__xludf.DUMMYFUNCTION("""COMPUTED_VALUE"""),"MG-SJ: 3.499,-")</f>
        <v>MG-SJ: 3.499,-</v>
      </c>
      <c r="E45" s="14">
        <f ca="1">IFERROR(__xludf.DUMMYFUNCTION("""COMPUTED_VALUE"""),1202)</f>
        <v>1202</v>
      </c>
      <c r="F45" s="14" t="str">
        <f ca="1">IFERROR(__xludf.DUMMYFUNCTION("""COMPUTED_VALUE"""),"Michael Holmegaard")</f>
        <v>Michael Holmegaard</v>
      </c>
      <c r="G45" s="14" t="str">
        <f ca="1">IFERROR(__xludf.DUMMYFUNCTION("""COMPUTED_VALUE"""),"mh@jespernielsen.dk")</f>
        <v>mh@jespernielsen.dk</v>
      </c>
      <c r="H45" s="14">
        <f ca="1">IFERROR(__xludf.DUMMYFUNCTION("""COMPUTED_VALUE"""),40898899)</f>
        <v>40898899</v>
      </c>
      <c r="I45" s="14" t="str">
        <f ca="1">IFERROR(__xludf.DUMMYFUNCTION("""COMPUTED_VALUE"""),"Jernbanevej 1A")</f>
        <v>Jernbanevej 1A</v>
      </c>
      <c r="J45" s="14">
        <f ca="1">IFERROR(__xludf.DUMMYFUNCTION("""COMPUTED_VALUE"""),2800)</f>
        <v>2800</v>
      </c>
      <c r="K45" s="14" t="str">
        <f ca="1">IFERROR(__xludf.DUMMYFUNCTION("""COMPUTED_VALUE"""),"Lyngby")</f>
        <v>Lyngby</v>
      </c>
      <c r="L45" s="14" t="str">
        <f ca="1">IFERROR(__xludf.DUMMYFUNCTION("""COMPUTED_VALUE"""),"Lyngby-Taarbæk")</f>
        <v>Lyngby-Taarbæk</v>
      </c>
      <c r="M45" s="14" t="str">
        <f ca="1">IFERROR(__xludf.DUMMYFUNCTION("""COMPUTED_VALUE"""),"Københavns omegn")</f>
        <v>Københavns omegn</v>
      </c>
      <c r="N45" s="14" t="str">
        <f ca="1">IFERROR(__xludf.DUMMYFUNCTION("""COMPUTED_VALUE"""),"Hovedstaden")</f>
        <v>Hovedstaden</v>
      </c>
      <c r="O45" s="14">
        <f ca="1">IFERROR(__xludf.DUMMYFUNCTION("""COMPUTED_VALUE"""),44221020)</f>
        <v>44221020</v>
      </c>
      <c r="P45" s="14" t="str">
        <f ca="1">IFERROR(__xludf.DUMMYFUNCTION("""COMPUTED_VALUE"""),"findhjem2800@jespernielsen.dk")</f>
        <v>findhjem2800@jespernielsen.dk</v>
      </c>
      <c r="Q45" s="15" t="str">
        <f ca="1">IFERROR(__xludf.DUMMYFUNCTION("""COMPUTED_VALUE"""),"https://www.boliga.dk/maegler/20169")</f>
        <v>https://www.boliga.dk/maegler/20169</v>
      </c>
      <c r="R45" s="14" t="str">
        <f ca="1">IFERROR(__xludf.DUMMYFUNCTION("""COMPUTED_VALUE"""),"-")</f>
        <v>-</v>
      </c>
      <c r="S45" s="14" t="str">
        <f ca="1">IFERROR(__xludf.DUMMYFUNCTION("""COMPUTED_VALUE"""),"-")</f>
        <v>-</v>
      </c>
      <c r="T45" s="14" t="str">
        <f ca="1">IFERROR(__xludf.DUMMYFUNCTION("""COMPUTED_VALUE"""),"-")</f>
        <v>-</v>
      </c>
      <c r="U45" s="14">
        <f ca="1">IFERROR(__xludf.DUMMYFUNCTION("""COMPUTED_VALUE"""),5)</f>
        <v>5</v>
      </c>
      <c r="V45" s="14" t="str">
        <f ca="1">IFERROR(__xludf.DUMMYFUNCTION("""COMPUTED_VALUE"""),"2880, 2800, 2830, 2850")</f>
        <v>2880, 2800, 2830, 2850</v>
      </c>
      <c r="W45" s="14">
        <f ca="1">IFERROR(__xludf.DUMMYFUNCTION("""COMPUTED_VALUE"""),4)</f>
        <v>4</v>
      </c>
      <c r="X45" s="14" t="str">
        <f ca="1">IFERROR(__xludf.DUMMYFUNCTION("""COMPUTED_VALUE"""),"2840, 2800")</f>
        <v>2840, 2800</v>
      </c>
      <c r="Y45" s="14" t="str">
        <f ca="1">IFERROR(__xludf.DUMMYFUNCTION("""COMPUTED_VALUE"""),"ja")</f>
        <v>ja</v>
      </c>
      <c r="Z45" s="14"/>
      <c r="AA45" s="14"/>
      <c r="AB45" s="14" t="str">
        <f ca="1">IFERROR(__xludf.DUMMYFUNCTION("""COMPUTED_VALUE"""),"x")</f>
        <v>x</v>
      </c>
      <c r="AC45" s="14" t="str">
        <f ca="1">IFERROR(__xludf.DUMMYFUNCTION("""COMPUTED_VALUE"""),"x")</f>
        <v>x</v>
      </c>
    </row>
    <row r="46" spans="1:29" ht="12.5" x14ac:dyDescent="0.25">
      <c r="A46" s="14" t="str">
        <f ca="1">IFERROR(__xludf.DUMMYFUNCTION("""COMPUTED_VALUE"""),"Camilla")</f>
        <v>Camilla</v>
      </c>
      <c r="B46" s="14" t="str">
        <f ca="1">IFERROR(__xludf.DUMMYFUNCTION("""COMPUTED_VALUE"""),"Ejendomsmæglerfirmaet Peter Frølich - Jægerspris")</f>
        <v>Ejendomsmæglerfirmaet Peter Frølich - Jægerspris</v>
      </c>
      <c r="C46" s="14">
        <f ca="1">IFERROR(__xludf.DUMMYFUNCTION("""COMPUTED_VALUE"""),29422605)</f>
        <v>29422605</v>
      </c>
      <c r="D46" s="14" t="str">
        <f ca="1">IFERROR(__xludf.DUMMYFUNCTION("""COMPUTED_VALUE"""),"MG-SJ: 3.499,-")</f>
        <v>MG-SJ: 3.499,-</v>
      </c>
      <c r="E46" s="14">
        <f ca="1">IFERROR(__xludf.DUMMYFUNCTION("""COMPUTED_VALUE"""),1202)</f>
        <v>1202</v>
      </c>
      <c r="F46" s="14" t="str">
        <f ca="1">IFERROR(__xludf.DUMMYFUNCTION("""COMPUTED_VALUE"""),"Peter Frølich")</f>
        <v>Peter Frølich</v>
      </c>
      <c r="G46" s="14" t="str">
        <f ca="1">IFERROR(__xludf.DUMMYFUNCTION("""COMPUTED_VALUE"""),"pfr@fbolig.dk")</f>
        <v>pfr@fbolig.dk</v>
      </c>
      <c r="H46" s="14">
        <f ca="1">IFERROR(__xludf.DUMMYFUNCTION("""COMPUTED_VALUE"""),42956734)</f>
        <v>42956734</v>
      </c>
      <c r="I46" s="14" t="str">
        <f ca="1">IFERROR(__xludf.DUMMYFUNCTION("""COMPUTED_VALUE"""),"Hovedgaden 33")</f>
        <v>Hovedgaden 33</v>
      </c>
      <c r="J46" s="14">
        <f ca="1">IFERROR(__xludf.DUMMYFUNCTION("""COMPUTED_VALUE"""),3630)</f>
        <v>3630</v>
      </c>
      <c r="K46" s="14" t="str">
        <f ca="1">IFERROR(__xludf.DUMMYFUNCTION("""COMPUTED_VALUE"""),"Jægerspris")</f>
        <v>Jægerspris</v>
      </c>
      <c r="L46" s="14" t="str">
        <f ca="1">IFERROR(__xludf.DUMMYFUNCTION("""COMPUTED_VALUE"""),"Frederikssund")</f>
        <v>Frederikssund</v>
      </c>
      <c r="M46" s="14" t="str">
        <f ca="1">IFERROR(__xludf.DUMMYFUNCTION("""COMPUTED_VALUE"""),"Nordsjælland")</f>
        <v>Nordsjælland</v>
      </c>
      <c r="N46" s="14" t="str">
        <f ca="1">IFERROR(__xludf.DUMMYFUNCTION("""COMPUTED_VALUE"""),"Hovedstaden")</f>
        <v>Hovedstaden</v>
      </c>
      <c r="O46" s="14">
        <f ca="1">IFERROR(__xludf.DUMMYFUNCTION("""COMPUTED_VALUE"""),47503300)</f>
        <v>47503300</v>
      </c>
      <c r="P46" s="14" t="str">
        <f ca="1">IFERROR(__xludf.DUMMYFUNCTION("""COMPUTED_VALUE"""),"3630@@fbolig.dk")</f>
        <v>3630@@fbolig.dk</v>
      </c>
      <c r="Q46" s="15" t="str">
        <f ca="1">IFERROR(__xludf.DUMMYFUNCTION("""COMPUTED_VALUE"""),"https://www.boliga.dk/maegler/29092")</f>
        <v>https://www.boliga.dk/maegler/29092</v>
      </c>
      <c r="R46" s="14" t="str">
        <f ca="1">IFERROR(__xludf.DUMMYFUNCTION("""COMPUTED_VALUE"""),"-")</f>
        <v>-</v>
      </c>
      <c r="S46" s="14" t="str">
        <f ca="1">IFERROR(__xludf.DUMMYFUNCTION("""COMPUTED_VALUE"""),"-")</f>
        <v>-</v>
      </c>
      <c r="T46" s="14" t="str">
        <f ca="1">IFERROR(__xludf.DUMMYFUNCTION("""COMPUTED_VALUE"""),"-")</f>
        <v>-</v>
      </c>
      <c r="U46" s="14" t="str">
        <f ca="1">IFERROR(__xludf.DUMMYFUNCTION("""COMPUTED_VALUE"""),"-")</f>
        <v>-</v>
      </c>
      <c r="V46" s="14" t="str">
        <f ca="1">IFERROR(__xludf.DUMMYFUNCTION("""COMPUTED_VALUE"""),"-")</f>
        <v>-</v>
      </c>
      <c r="W46" s="14" t="str">
        <f ca="1">IFERROR(__xludf.DUMMYFUNCTION("""COMPUTED_VALUE"""),"-")</f>
        <v>-</v>
      </c>
      <c r="X46" s="14" t="str">
        <f ca="1">IFERROR(__xludf.DUMMYFUNCTION("""COMPUTED_VALUE"""),"-")</f>
        <v>-</v>
      </c>
      <c r="Y46" s="14" t="str">
        <f ca="1">IFERROR(__xludf.DUMMYFUNCTION("""COMPUTED_VALUE"""),"ja")</f>
        <v>ja</v>
      </c>
      <c r="Z46" s="14"/>
      <c r="AA46" s="14"/>
      <c r="AB46" s="14" t="str">
        <f ca="1">IFERROR(__xludf.DUMMYFUNCTION("""COMPUTED_VALUE"""),"x")</f>
        <v>x</v>
      </c>
      <c r="AC46" s="14" t="str">
        <f ca="1">IFERROR(__xludf.DUMMYFUNCTION("""COMPUTED_VALUE"""),"x")</f>
        <v>x</v>
      </c>
    </row>
    <row r="47" spans="1:29" ht="12.5" x14ac:dyDescent="0.25">
      <c r="A47" s="14" t="str">
        <f ca="1">IFERROR(__xludf.DUMMYFUNCTION("""COMPUTED_VALUE"""),"Camilla")</f>
        <v>Camilla</v>
      </c>
      <c r="B47" s="14" t="str">
        <f ca="1">IFERROR(__xludf.DUMMYFUNCTION("""COMPUTED_VALUE"""),"Ejendomsmægler Regine Liljengren")</f>
        <v>Ejendomsmægler Regine Liljengren</v>
      </c>
      <c r="C47" s="14">
        <f ca="1">IFERROR(__xludf.DUMMYFUNCTION("""COMPUTED_VALUE"""),38159208)</f>
        <v>38159208</v>
      </c>
      <c r="D47" s="14" t="str">
        <f ca="1">IFERROR(__xludf.DUMMYFUNCTION("""COMPUTED_VALUE"""),"MG-SJ: 3.499,-")</f>
        <v>MG-SJ: 3.499,-</v>
      </c>
      <c r="E47" s="14">
        <f ca="1">IFERROR(__xludf.DUMMYFUNCTION("""COMPUTED_VALUE"""),1202)</f>
        <v>1202</v>
      </c>
      <c r="F47" s="14" t="str">
        <f ca="1">IFERROR(__xludf.DUMMYFUNCTION("""COMPUTED_VALUE"""),"Regine Liljengren")</f>
        <v>Regine Liljengren</v>
      </c>
      <c r="G47" s="14" t="str">
        <f ca="1">IFERROR(__xludf.DUMMYFUNCTION("""COMPUTED_VALUE"""),"regine@regineliljengren.dk")</f>
        <v>regine@regineliljengren.dk</v>
      </c>
      <c r="H47" s="14">
        <f ca="1">IFERROR(__xludf.DUMMYFUNCTION("""COMPUTED_VALUE"""),28747636)</f>
        <v>28747636</v>
      </c>
      <c r="I47" s="14" t="str">
        <f ca="1">IFERROR(__xludf.DUMMYFUNCTION("""COMPUTED_VALUE"""),"Nærumvænge Torv 2")</f>
        <v>Nærumvænge Torv 2</v>
      </c>
      <c r="J47" s="14">
        <f ca="1">IFERROR(__xludf.DUMMYFUNCTION("""COMPUTED_VALUE"""),2850)</f>
        <v>2850</v>
      </c>
      <c r="K47" s="14" t="str">
        <f ca="1">IFERROR(__xludf.DUMMYFUNCTION("""COMPUTED_VALUE"""),"Nærum")</f>
        <v>Nærum</v>
      </c>
      <c r="L47" s="14" t="str">
        <f ca="1">IFERROR(__xludf.DUMMYFUNCTION("""COMPUTED_VALUE"""),"Rudersdal")</f>
        <v>Rudersdal</v>
      </c>
      <c r="M47" s="14" t="str">
        <f ca="1">IFERROR(__xludf.DUMMYFUNCTION("""COMPUTED_VALUE"""),"Nordsjælland")</f>
        <v>Nordsjælland</v>
      </c>
      <c r="N47" s="14" t="str">
        <f ca="1">IFERROR(__xludf.DUMMYFUNCTION("""COMPUTED_VALUE"""),"Hovedstaden")</f>
        <v>Hovedstaden</v>
      </c>
      <c r="O47" s="14">
        <f ca="1">IFERROR(__xludf.DUMMYFUNCTION("""COMPUTED_VALUE"""),88826630)</f>
        <v>88826630</v>
      </c>
      <c r="P47" s="14" t="str">
        <f ca="1">IFERROR(__xludf.DUMMYFUNCTION("""COMPUTED_VALUE"""),"kontakt@regineliljengren.dk")</f>
        <v>kontakt@regineliljengren.dk</v>
      </c>
      <c r="Q47" s="15" t="str">
        <f ca="1">IFERROR(__xludf.DUMMYFUNCTION("""COMPUTED_VALUE"""),"https://www.boliga.dk/maegler/29043")</f>
        <v>https://www.boliga.dk/maegler/29043</v>
      </c>
      <c r="R47" s="14" t="str">
        <f ca="1">IFERROR(__xludf.DUMMYFUNCTION("""COMPUTED_VALUE"""),"-")</f>
        <v>-</v>
      </c>
      <c r="S47" s="14" t="str">
        <f ca="1">IFERROR(__xludf.DUMMYFUNCTION("""COMPUTED_VALUE"""),"-")</f>
        <v>-</v>
      </c>
      <c r="T47" s="14" t="str">
        <f ca="1">IFERROR(__xludf.DUMMYFUNCTION("""COMPUTED_VALUE"""),"-")</f>
        <v>-</v>
      </c>
      <c r="U47" s="14" t="str">
        <f ca="1">IFERROR(__xludf.DUMMYFUNCTION("""COMPUTED_VALUE"""),"-")</f>
        <v>-</v>
      </c>
      <c r="V47" s="14" t="str">
        <f ca="1">IFERROR(__xludf.DUMMYFUNCTION("""COMPUTED_VALUE"""),"-")</f>
        <v>-</v>
      </c>
      <c r="W47" s="14">
        <f ca="1">IFERROR(__xludf.DUMMYFUNCTION("""COMPUTED_VALUE"""),4)</f>
        <v>4</v>
      </c>
      <c r="X47" s="14" t="str">
        <f ca="1">IFERROR(__xludf.DUMMYFUNCTION("""COMPUTED_VALUE"""),"2850, 3050")</f>
        <v>2850, 3050</v>
      </c>
      <c r="Y47" s="14" t="str">
        <f ca="1">IFERROR(__xludf.DUMMYFUNCTION("""COMPUTED_VALUE"""),"ja")</f>
        <v>ja</v>
      </c>
      <c r="Z47" s="14"/>
      <c r="AA47" s="14"/>
      <c r="AB47" s="14" t="str">
        <f ca="1">IFERROR(__xludf.DUMMYFUNCTION("""COMPUTED_VALUE"""),"x")</f>
        <v>x</v>
      </c>
      <c r="AC47" s="14" t="str">
        <f ca="1">IFERROR(__xludf.DUMMYFUNCTION("""COMPUTED_VALUE"""),"x")</f>
        <v>x</v>
      </c>
    </row>
    <row r="48" spans="1:29" ht="12.5" x14ac:dyDescent="0.25">
      <c r="A48" s="14" t="str">
        <f ca="1">IFERROR(__xludf.DUMMYFUNCTION("""COMPUTED_VALUE"""),"Camilla")</f>
        <v>Camilla</v>
      </c>
      <c r="B48" s="14" t="str">
        <f ca="1">IFERROR(__xludf.DUMMYFUNCTION("""COMPUTED_VALUE"""),"Ejendomsmæglerfirmaet Stine Christiansen")</f>
        <v>Ejendomsmæglerfirmaet Stine Christiansen</v>
      </c>
      <c r="C48" s="14">
        <f ca="1">IFERROR(__xludf.DUMMYFUNCTION("""COMPUTED_VALUE"""),32063353)</f>
        <v>32063353</v>
      </c>
      <c r="D48" s="14" t="str">
        <f ca="1">IFERROR(__xludf.DUMMYFUNCTION("""COMPUTED_VALUE"""),"MG-SJ: 3.499,-")</f>
        <v>MG-SJ: 3.499,-</v>
      </c>
      <c r="E48" s="14">
        <f ca="1">IFERROR(__xludf.DUMMYFUNCTION("""COMPUTED_VALUE"""),1202)</f>
        <v>1202</v>
      </c>
      <c r="F48" s="14" t="str">
        <f ca="1">IFERROR(__xludf.DUMMYFUNCTION("""COMPUTED_VALUE"""),"Stine Christiansen")</f>
        <v>Stine Christiansen</v>
      </c>
      <c r="G48" s="14" t="str">
        <f ca="1">IFERROR(__xludf.DUMMYFUNCTION("""COMPUTED_VALUE"""),"sc@stinechristiansen")</f>
        <v>sc@stinechristiansen</v>
      </c>
      <c r="H48" s="14">
        <f ca="1">IFERROR(__xludf.DUMMYFUNCTION("""COMPUTED_VALUE"""),23412650)</f>
        <v>23412650</v>
      </c>
      <c r="I48" s="14" t="str">
        <f ca="1">IFERROR(__xludf.DUMMYFUNCTION("""COMPUTED_VALUE"""),"Hvidovrevej 340A")</f>
        <v>Hvidovrevej 340A</v>
      </c>
      <c r="J48" s="14">
        <f ca="1">IFERROR(__xludf.DUMMYFUNCTION("""COMPUTED_VALUE"""),2650)</f>
        <v>2650</v>
      </c>
      <c r="K48" s="14" t="str">
        <f ca="1">IFERROR(__xludf.DUMMYFUNCTION("""COMPUTED_VALUE"""),"Hvidovre")</f>
        <v>Hvidovre</v>
      </c>
      <c r="L48" s="14" t="str">
        <f ca="1">IFERROR(__xludf.DUMMYFUNCTION("""COMPUTED_VALUE"""),"Hvidovre")</f>
        <v>Hvidovre</v>
      </c>
      <c r="M48" s="14" t="str">
        <f ca="1">IFERROR(__xludf.DUMMYFUNCTION("""COMPUTED_VALUE"""),"Københavns omegn")</f>
        <v>Københavns omegn</v>
      </c>
      <c r="N48" s="14" t="str">
        <f ca="1">IFERROR(__xludf.DUMMYFUNCTION("""COMPUTED_VALUE"""),"Hovedstaden")</f>
        <v>Hovedstaden</v>
      </c>
      <c r="O48" s="14">
        <f ca="1">IFERROR(__xludf.DUMMYFUNCTION("""COMPUTED_VALUE"""),44224990)</f>
        <v>44224990</v>
      </c>
      <c r="P48" s="14" t="str">
        <f ca="1">IFERROR(__xludf.DUMMYFUNCTION("""COMPUTED_VALUE"""),"hjem@stinechristiansen.dk")</f>
        <v>hjem@stinechristiansen.dk</v>
      </c>
      <c r="Q48" s="15" t="str">
        <f ca="1">IFERROR(__xludf.DUMMYFUNCTION("""COMPUTED_VALUE"""),"https://www.boliga.dk/maegler/22397")</f>
        <v>https://www.boliga.dk/maegler/22397</v>
      </c>
      <c r="R48" s="14" t="str">
        <f ca="1">IFERROR(__xludf.DUMMYFUNCTION("""COMPUTED_VALUE"""),"-")</f>
        <v>-</v>
      </c>
      <c r="S48" s="14" t="str">
        <f ca="1">IFERROR(__xludf.DUMMYFUNCTION("""COMPUTED_VALUE"""),"-")</f>
        <v>-</v>
      </c>
      <c r="T48" s="14" t="str">
        <f ca="1">IFERROR(__xludf.DUMMYFUNCTION("""COMPUTED_VALUE"""),"-")</f>
        <v>-</v>
      </c>
      <c r="U48" s="14">
        <f ca="1">IFERROR(__xludf.DUMMYFUNCTION("""COMPUTED_VALUE"""),2)</f>
        <v>2</v>
      </c>
      <c r="V48" s="14">
        <f ca="1">IFERROR(__xludf.DUMMYFUNCTION("""COMPUTED_VALUE"""),2650)</f>
        <v>2650</v>
      </c>
      <c r="W48" s="14">
        <f ca="1">IFERROR(__xludf.DUMMYFUNCTION("""COMPUTED_VALUE"""),11)</f>
        <v>11</v>
      </c>
      <c r="X48" s="14">
        <f ca="1">IFERROR(__xludf.DUMMYFUNCTION("""COMPUTED_VALUE"""),2650)</f>
        <v>2650</v>
      </c>
      <c r="Y48" s="14" t="str">
        <f ca="1">IFERROR(__xludf.DUMMYFUNCTION("""COMPUTED_VALUE"""),"ja")</f>
        <v>ja</v>
      </c>
      <c r="Z48" s="14"/>
      <c r="AA48" s="14"/>
      <c r="AB48" s="14" t="str">
        <f ca="1">IFERROR(__xludf.DUMMYFUNCTION("""COMPUTED_VALUE"""),"x")</f>
        <v>x</v>
      </c>
      <c r="AC48" s="14" t="str">
        <f ca="1">IFERROR(__xludf.DUMMYFUNCTION("""COMPUTED_VALUE"""),"x")</f>
        <v>x</v>
      </c>
    </row>
    <row r="49" spans="1:29" ht="12.5" x14ac:dyDescent="0.25">
      <c r="A49" s="14" t="str">
        <f ca="1">IFERROR(__xludf.DUMMYFUNCTION("""COMPUTED_VALUE"""),"Camilla")</f>
        <v>Camilla</v>
      </c>
      <c r="B49" s="14" t="str">
        <f ca="1">IFERROR(__xludf.DUMMYFUNCTION("""COMPUTED_VALUE"""),"Ejendomsmæglerne BOtikken")</f>
        <v>Ejendomsmæglerne BOtikken</v>
      </c>
      <c r="C49" s="14">
        <f ca="1">IFERROR(__xludf.DUMMYFUNCTION("""COMPUTED_VALUE"""),33648286)</f>
        <v>33648286</v>
      </c>
      <c r="D49" s="14" t="str">
        <f ca="1">IFERROR(__xludf.DUMMYFUNCTION("""COMPUTED_VALUE"""),"MG-SJ: 3.499,-")</f>
        <v>MG-SJ: 3.499,-</v>
      </c>
      <c r="E49" s="14">
        <f ca="1">IFERROR(__xludf.DUMMYFUNCTION("""COMPUTED_VALUE"""),1202)</f>
        <v>1202</v>
      </c>
      <c r="F49" s="14" t="str">
        <f ca="1">IFERROR(__xludf.DUMMYFUNCTION("""COMPUTED_VALUE"""),"Herluf Pedersen")</f>
        <v>Herluf Pedersen</v>
      </c>
      <c r="G49" s="14" t="str">
        <f ca="1">IFERROR(__xludf.DUMMYFUNCTION("""COMPUTED_VALUE"""),"hp@botikken.dk")</f>
        <v>hp@botikken.dk</v>
      </c>
      <c r="H49" s="14">
        <f ca="1">IFERROR(__xludf.DUMMYFUNCTION("""COMPUTED_VALUE"""),21964949)</f>
        <v>21964949</v>
      </c>
      <c r="I49" s="14" t="str">
        <f ca="1">IFERROR(__xludf.DUMMYFUNCTION("""COMPUTED_VALUE"""),"Vangedevej 2")</f>
        <v>Vangedevej 2</v>
      </c>
      <c r="J49" s="14">
        <f ca="1">IFERROR(__xludf.DUMMYFUNCTION("""COMPUTED_VALUE"""),2820)</f>
        <v>2820</v>
      </c>
      <c r="K49" s="14" t="str">
        <f ca="1">IFERROR(__xludf.DUMMYFUNCTION("""COMPUTED_VALUE"""),"Gentofte")</f>
        <v>Gentofte</v>
      </c>
      <c r="L49" s="14" t="str">
        <f ca="1">IFERROR(__xludf.DUMMYFUNCTION("""COMPUTED_VALUE"""),"Gentofte")</f>
        <v>Gentofte</v>
      </c>
      <c r="M49" s="14" t="str">
        <f ca="1">IFERROR(__xludf.DUMMYFUNCTION("""COMPUTED_VALUE"""),"Københavns omegn")</f>
        <v>Københavns omegn</v>
      </c>
      <c r="N49" s="14" t="str">
        <f ca="1">IFERROR(__xludf.DUMMYFUNCTION("""COMPUTED_VALUE"""),"Hovedstaden")</f>
        <v>Hovedstaden</v>
      </c>
      <c r="O49" s="14">
        <f ca="1">IFERROR(__xludf.DUMMYFUNCTION("""COMPUTED_VALUE"""),39618844)</f>
        <v>39618844</v>
      </c>
      <c r="P49" s="14" t="str">
        <f ca="1">IFERROR(__xludf.DUMMYFUNCTION("""COMPUTED_VALUE"""),"botikken@botikken.dk")</f>
        <v>botikken@botikken.dk</v>
      </c>
      <c r="Q49" s="15" t="str">
        <f ca="1">IFERROR(__xludf.DUMMYFUNCTION("""COMPUTED_VALUE"""),"https://www.boliga.dk/maegler/24522")</f>
        <v>https://www.boliga.dk/maegler/24522</v>
      </c>
      <c r="R49" s="14" t="str">
        <f ca="1">IFERROR(__xludf.DUMMYFUNCTION("""COMPUTED_VALUE"""),"-")</f>
        <v>-</v>
      </c>
      <c r="S49" s="14" t="str">
        <f ca="1">IFERROR(__xludf.DUMMYFUNCTION("""COMPUTED_VALUE"""),"-")</f>
        <v>-</v>
      </c>
      <c r="T49" s="14" t="str">
        <f ca="1">IFERROR(__xludf.DUMMYFUNCTION("""COMPUTED_VALUE"""),"-")</f>
        <v>-</v>
      </c>
      <c r="U49" s="14">
        <f ca="1">IFERROR(__xludf.DUMMYFUNCTION("""COMPUTED_VALUE"""),1)</f>
        <v>1</v>
      </c>
      <c r="V49" s="14">
        <f ca="1">IFERROR(__xludf.DUMMYFUNCTION("""COMPUTED_VALUE"""),2830)</f>
        <v>2830</v>
      </c>
      <c r="W49" s="14">
        <f ca="1">IFERROR(__xludf.DUMMYFUNCTION("""COMPUTED_VALUE"""),2)</f>
        <v>2</v>
      </c>
      <c r="X49" s="14" t="str">
        <f ca="1">IFERROR(__xludf.DUMMYFUNCTION("""COMPUTED_VALUE"""),"2800, 6830")</f>
        <v>2800, 6830</v>
      </c>
      <c r="Y49" s="14" t="str">
        <f ca="1">IFERROR(__xludf.DUMMYFUNCTION("""COMPUTED_VALUE"""),"ja")</f>
        <v>ja</v>
      </c>
      <c r="Z49" s="14"/>
      <c r="AA49" s="14"/>
      <c r="AB49" s="14" t="str">
        <f ca="1">IFERROR(__xludf.DUMMYFUNCTION("""COMPUTED_VALUE"""),"x")</f>
        <v>x</v>
      </c>
      <c r="AC49" s="14" t="str">
        <f ca="1">IFERROR(__xludf.DUMMYFUNCTION("""COMPUTED_VALUE"""),"x")</f>
        <v>x</v>
      </c>
    </row>
    <row r="50" spans="1:29" ht="12.5" x14ac:dyDescent="0.25">
      <c r="A50" s="14" t="str">
        <f ca="1">IFERROR(__xludf.DUMMYFUNCTION("""COMPUTED_VALUE"""),"Camilla")</f>
        <v>Camilla</v>
      </c>
      <c r="B50" s="14" t="str">
        <f ca="1">IFERROR(__xludf.DUMMYFUNCTION("""COMPUTED_VALUE"""),"Ejendomsmæglerne Gunde &amp; Gunde")</f>
        <v>Ejendomsmæglerne Gunde &amp; Gunde</v>
      </c>
      <c r="C50" s="14">
        <f ca="1">IFERROR(__xludf.DUMMYFUNCTION("""COMPUTED_VALUE"""),35659234)</f>
        <v>35659234</v>
      </c>
      <c r="D50" s="14" t="str">
        <f ca="1">IFERROR(__xludf.DUMMYFUNCTION("""COMPUTED_VALUE"""),"MG-SJ: 3.499,-")</f>
        <v>MG-SJ: 3.499,-</v>
      </c>
      <c r="E50" s="14">
        <f ca="1">IFERROR(__xludf.DUMMYFUNCTION("""COMPUTED_VALUE"""),1202)</f>
        <v>1202</v>
      </c>
      <c r="F50" s="14" t="str">
        <f ca="1">IFERROR(__xludf.DUMMYFUNCTION("""COMPUTED_VALUE"""),"Kenn Gundesen")</f>
        <v>Kenn Gundesen</v>
      </c>
      <c r="G50" s="14" t="str">
        <f ca="1">IFERROR(__xludf.DUMMYFUNCTION("""COMPUTED_VALUE"""),"kg@gundeoggunde.dk")</f>
        <v>kg@gundeoggunde.dk</v>
      </c>
      <c r="H50" s="14">
        <f ca="1">IFERROR(__xludf.DUMMYFUNCTION("""COMPUTED_VALUE"""),91550555)</f>
        <v>91550555</v>
      </c>
      <c r="I50" s="14" t="str">
        <f ca="1">IFERROR(__xludf.DUMMYFUNCTION("""COMPUTED_VALUE"""),"Herluf Trolles Gade 18")</f>
        <v>Herluf Trolles Gade 18</v>
      </c>
      <c r="J50" s="14">
        <f ca="1">IFERROR(__xludf.DUMMYFUNCTION("""COMPUTED_VALUE"""),1052)</f>
        <v>1052</v>
      </c>
      <c r="K50" s="14" t="str">
        <f ca="1">IFERROR(__xludf.DUMMYFUNCTION("""COMPUTED_VALUE"""),"København K")</f>
        <v>København K</v>
      </c>
      <c r="L50" s="14" t="str">
        <f ca="1">IFERROR(__xludf.DUMMYFUNCTION("""COMPUTED_VALUE"""),"København")</f>
        <v>København</v>
      </c>
      <c r="M50" s="14" t="str">
        <f ca="1">IFERROR(__xludf.DUMMYFUNCTION("""COMPUTED_VALUE"""),"København By")</f>
        <v>København By</v>
      </c>
      <c r="N50" s="14" t="str">
        <f ca="1">IFERROR(__xludf.DUMMYFUNCTION("""COMPUTED_VALUE"""),"Hovedstaden")</f>
        <v>Hovedstaden</v>
      </c>
      <c r="O50" s="14">
        <f ca="1">IFERROR(__xludf.DUMMYFUNCTION("""COMPUTED_VALUE"""),91550555)</f>
        <v>91550555</v>
      </c>
      <c r="P50" s="14" t="str">
        <f ca="1">IFERROR(__xludf.DUMMYFUNCTION("""COMPUTED_VALUE"""),"Kontakt@GUNDEogGUNDE.dk")</f>
        <v>Kontakt@GUNDEogGUNDE.dk</v>
      </c>
      <c r="Q50" s="15" t="str">
        <f ca="1">IFERROR(__xludf.DUMMYFUNCTION("""COMPUTED_VALUE"""),"https://www.boliga.dk/maegler/22489")</f>
        <v>https://www.boliga.dk/maegler/22489</v>
      </c>
      <c r="R50" s="14" t="str">
        <f ca="1">IFERROR(__xludf.DUMMYFUNCTION("""COMPUTED_VALUE"""),"-")</f>
        <v>-</v>
      </c>
      <c r="S50" s="14" t="str">
        <f ca="1">IFERROR(__xludf.DUMMYFUNCTION("""COMPUTED_VALUE"""),"-")</f>
        <v>-</v>
      </c>
      <c r="T50" s="14" t="str">
        <f ca="1">IFERROR(__xludf.DUMMYFUNCTION("""COMPUTED_VALUE"""),"-")</f>
        <v>-</v>
      </c>
      <c r="U50" s="14">
        <f ca="1">IFERROR(__xludf.DUMMYFUNCTION("""COMPUTED_VALUE"""),4)</f>
        <v>4</v>
      </c>
      <c r="V50" s="14" t="str">
        <f ca="1">IFERROR(__xludf.DUMMYFUNCTION("""COMPUTED_VALUE"""),"1870, 4243, 4736")</f>
        <v>1870, 4243, 4736</v>
      </c>
      <c r="W50" s="14">
        <f ca="1">IFERROR(__xludf.DUMMYFUNCTION("""COMPUTED_VALUE"""),3)</f>
        <v>3</v>
      </c>
      <c r="X50" s="14" t="str">
        <f ca="1">IFERROR(__xludf.DUMMYFUNCTION("""COMPUTED_VALUE"""),"4684, 1054, 2100")</f>
        <v>4684, 1054, 2100</v>
      </c>
      <c r="Y50" s="14" t="str">
        <f ca="1">IFERROR(__xludf.DUMMYFUNCTION("""COMPUTED_VALUE"""),"ja")</f>
        <v>ja</v>
      </c>
      <c r="Z50" s="14"/>
      <c r="AA50" s="14"/>
      <c r="AB50" s="14" t="str">
        <f ca="1">IFERROR(__xludf.DUMMYFUNCTION("""COMPUTED_VALUE"""),"x")</f>
        <v>x</v>
      </c>
      <c r="AC50" s="14" t="str">
        <f ca="1">IFERROR(__xludf.DUMMYFUNCTION("""COMPUTED_VALUE"""),"x")</f>
        <v>x</v>
      </c>
    </row>
    <row r="51" spans="1:29" ht="12.5" x14ac:dyDescent="0.25">
      <c r="A51" s="14" t="str">
        <f ca="1">IFERROR(__xludf.DUMMYFUNCTION("""COMPUTED_VALUE"""),"Camilla")</f>
        <v>Camilla</v>
      </c>
      <c r="B51" s="14" t="str">
        <f ca="1">IFERROR(__xludf.DUMMYFUNCTION("""COMPUTED_VALUE"""),"Fokusmæglerne ApS")</f>
        <v>Fokusmæglerne ApS</v>
      </c>
      <c r="C51" s="14">
        <f ca="1">IFERROR(__xludf.DUMMYFUNCTION("""COMPUTED_VALUE"""),37125253)</f>
        <v>37125253</v>
      </c>
      <c r="D51" s="14" t="str">
        <f ca="1">IFERROR(__xludf.DUMMYFUNCTION("""COMPUTED_VALUE"""),"MG-SJ: 3.499,-")</f>
        <v>MG-SJ: 3.499,-</v>
      </c>
      <c r="E51" s="14">
        <f ca="1">IFERROR(__xludf.DUMMYFUNCTION("""COMPUTED_VALUE"""),1202)</f>
        <v>1202</v>
      </c>
      <c r="F51" s="14" t="str">
        <f ca="1">IFERROR(__xludf.DUMMYFUNCTION("""COMPUTED_VALUE"""),"Cecilie Stonor")</f>
        <v>Cecilie Stonor</v>
      </c>
      <c r="G51" s="15" t="str">
        <f ca="1">IFERROR(__xludf.DUMMYFUNCTION("""COMPUTED_VALUE"""),"cecilie@fokusmaeglerne.dk")</f>
        <v>cecilie@fokusmaeglerne.dk</v>
      </c>
      <c r="H51" s="14">
        <f ca="1">IFERROR(__xludf.DUMMYFUNCTION("""COMPUTED_VALUE"""),25717878)</f>
        <v>25717878</v>
      </c>
      <c r="I51" s="14" t="str">
        <f ca="1">IFERROR(__xludf.DUMMYFUNCTION("""COMPUTED_VALUE"""),"Holmbladsgade 20")</f>
        <v>Holmbladsgade 20</v>
      </c>
      <c r="J51" s="14">
        <f ca="1">IFERROR(__xludf.DUMMYFUNCTION("""COMPUTED_VALUE"""),2300)</f>
        <v>2300</v>
      </c>
      <c r="K51" s="14" t="str">
        <f ca="1">IFERROR(__xludf.DUMMYFUNCTION("""COMPUTED_VALUE"""),"København S")</f>
        <v>København S</v>
      </c>
      <c r="L51" s="14" t="str">
        <f ca="1">IFERROR(__xludf.DUMMYFUNCTION("""COMPUTED_VALUE"""),"København")</f>
        <v>København</v>
      </c>
      <c r="M51" s="14" t="str">
        <f ca="1">IFERROR(__xludf.DUMMYFUNCTION("""COMPUTED_VALUE"""),"København By")</f>
        <v>København By</v>
      </c>
      <c r="N51" s="14" t="str">
        <f ca="1">IFERROR(__xludf.DUMMYFUNCTION("""COMPUTED_VALUE"""),"Hovedstaden")</f>
        <v>Hovedstaden</v>
      </c>
      <c r="O51" s="14">
        <f ca="1">IFERROR(__xludf.DUMMYFUNCTION("""COMPUTED_VALUE"""),35557777)</f>
        <v>35557777</v>
      </c>
      <c r="P51" s="14" t="str">
        <f ca="1">IFERROR(__xludf.DUMMYFUNCTION("""COMPUTED_VALUE"""),"2300@fokusmaeglerne.dk")</f>
        <v>2300@fokusmaeglerne.dk</v>
      </c>
      <c r="Q51" s="15" t="str">
        <f ca="1">IFERROR(__xludf.DUMMYFUNCTION("""COMPUTED_VALUE"""),"https://www.boliga.dk/maegler/26902")</f>
        <v>https://www.boliga.dk/maegler/26902</v>
      </c>
      <c r="R51" s="14" t="str">
        <f ca="1">IFERROR(__xludf.DUMMYFUNCTION("""COMPUTED_VALUE"""),"-")</f>
        <v>-</v>
      </c>
      <c r="S51" s="14" t="str">
        <f ca="1">IFERROR(__xludf.DUMMYFUNCTION("""COMPUTED_VALUE"""),"-")</f>
        <v>-</v>
      </c>
      <c r="T51" s="14" t="str">
        <f ca="1">IFERROR(__xludf.DUMMYFUNCTION("""COMPUTED_VALUE"""),"-")</f>
        <v>-</v>
      </c>
      <c r="U51" s="14">
        <f ca="1">IFERROR(__xludf.DUMMYFUNCTION("""COMPUTED_VALUE"""),3)</f>
        <v>3</v>
      </c>
      <c r="V51" s="14">
        <f ca="1">IFERROR(__xludf.DUMMYFUNCTION("""COMPUTED_VALUE"""),2300)</f>
        <v>2300</v>
      </c>
      <c r="W51" s="14">
        <f ca="1">IFERROR(__xludf.DUMMYFUNCTION("""COMPUTED_VALUE"""),10)</f>
        <v>10</v>
      </c>
      <c r="X51" s="14" t="str">
        <f ca="1">IFERROR(__xludf.DUMMYFUNCTION("""COMPUTED_VALUE"""),"2300, 2630, 2770, 2720")</f>
        <v>2300, 2630, 2770, 2720</v>
      </c>
      <c r="Y51" s="14" t="str">
        <f ca="1">IFERROR(__xludf.DUMMYFUNCTION("""COMPUTED_VALUE"""),"ja")</f>
        <v>ja</v>
      </c>
      <c r="Z51" s="14"/>
      <c r="AA51" s="14"/>
      <c r="AB51" s="14" t="str">
        <f ca="1">IFERROR(__xludf.DUMMYFUNCTION("""COMPUTED_VALUE"""),"x")</f>
        <v>x</v>
      </c>
      <c r="AC51" s="14" t="str">
        <f ca="1">IFERROR(__xludf.DUMMYFUNCTION("""COMPUTED_VALUE"""),"x")</f>
        <v>x</v>
      </c>
    </row>
    <row r="52" spans="1:29" ht="12.5" x14ac:dyDescent="0.25">
      <c r="A52" s="14" t="str">
        <f ca="1">IFERROR(__xludf.DUMMYFUNCTION("""COMPUTED_VALUE"""),"Camilla")</f>
        <v>Camilla</v>
      </c>
      <c r="B52" s="14" t="str">
        <f ca="1">IFERROR(__xludf.DUMMYFUNCTION("""COMPUTED_VALUE"""),"Freck Bolig")</f>
        <v>Freck Bolig</v>
      </c>
      <c r="C52" s="14">
        <f ca="1">IFERROR(__xludf.DUMMYFUNCTION("""COMPUTED_VALUE"""),34011400)</f>
        <v>34011400</v>
      </c>
      <c r="D52" s="14" t="str">
        <f ca="1">IFERROR(__xludf.DUMMYFUNCTION("""COMPUTED_VALUE"""),"MG-SJ: 3.499,-")</f>
        <v>MG-SJ: 3.499,-</v>
      </c>
      <c r="E52" s="14">
        <f ca="1">IFERROR(__xludf.DUMMYFUNCTION("""COMPUTED_VALUE"""),1202)</f>
        <v>1202</v>
      </c>
      <c r="F52" s="14" t="str">
        <f ca="1">IFERROR(__xludf.DUMMYFUNCTION("""COMPUTED_VALUE"""),"Louise Freck")</f>
        <v>Louise Freck</v>
      </c>
      <c r="G52" s="14" t="str">
        <f ca="1">IFERROR(__xludf.DUMMYFUNCTION("""COMPUTED_VALUE"""),"louise@freckbolig.dk")</f>
        <v>louise@freckbolig.dk</v>
      </c>
      <c r="H52" s="14">
        <f ca="1">IFERROR(__xludf.DUMMYFUNCTION("""COMPUTED_VALUE"""),24220212)</f>
        <v>24220212</v>
      </c>
      <c r="I52" s="14" t="str">
        <f ca="1">IFERROR(__xludf.DUMMYFUNCTION("""COMPUTED_VALUE"""),"Kongensgade 17B, TV")</f>
        <v>Kongensgade 17B, TV</v>
      </c>
      <c r="J52" s="14">
        <f ca="1">IFERROR(__xludf.DUMMYFUNCTION("""COMPUTED_VALUE"""),3550)</f>
        <v>3550</v>
      </c>
      <c r="K52" s="14" t="str">
        <f ca="1">IFERROR(__xludf.DUMMYFUNCTION("""COMPUTED_VALUE"""),"Slangerup")</f>
        <v>Slangerup</v>
      </c>
      <c r="L52" s="14" t="str">
        <f ca="1">IFERROR(__xludf.DUMMYFUNCTION("""COMPUTED_VALUE"""),"Frederikssund")</f>
        <v>Frederikssund</v>
      </c>
      <c r="M52" s="14" t="str">
        <f ca="1">IFERROR(__xludf.DUMMYFUNCTION("""COMPUTED_VALUE"""),"Nordsjælland")</f>
        <v>Nordsjælland</v>
      </c>
      <c r="N52" s="14" t="str">
        <f ca="1">IFERROR(__xludf.DUMMYFUNCTION("""COMPUTED_VALUE"""),"Hovedstaden")</f>
        <v>Hovedstaden</v>
      </c>
      <c r="O52" s="14">
        <f ca="1">IFERROR(__xludf.DUMMYFUNCTION("""COMPUTED_VALUE"""),24220212)</f>
        <v>24220212</v>
      </c>
      <c r="P52" s="14" t="str">
        <f ca="1">IFERROR(__xludf.DUMMYFUNCTION("""COMPUTED_VALUE"""),"Louise@freckbolig.dk")</f>
        <v>Louise@freckbolig.dk</v>
      </c>
      <c r="Q52" s="15" t="str">
        <f ca="1">IFERROR(__xludf.DUMMYFUNCTION("""COMPUTED_VALUE"""),"https://www.boliga.dk/maegler/22383")</f>
        <v>https://www.boliga.dk/maegler/22383</v>
      </c>
      <c r="R52" s="14" t="str">
        <f ca="1">IFERROR(__xludf.DUMMYFUNCTION("""COMPUTED_VALUE"""),"-")</f>
        <v>-</v>
      </c>
      <c r="S52" s="14" t="str">
        <f ca="1">IFERROR(__xludf.DUMMYFUNCTION("""COMPUTED_VALUE"""),"-")</f>
        <v>-</v>
      </c>
      <c r="T52" s="14" t="str">
        <f ca="1">IFERROR(__xludf.DUMMYFUNCTION("""COMPUTED_VALUE"""),"-")</f>
        <v>-</v>
      </c>
      <c r="U52" s="14">
        <f ca="1">IFERROR(__xludf.DUMMYFUNCTION("""COMPUTED_VALUE"""),10)</f>
        <v>10</v>
      </c>
      <c r="V52" s="14" t="str">
        <f ca="1">IFERROR(__xludf.DUMMYFUNCTION("""COMPUTED_VALUE"""),"3630, 3200, 3300, 3320, 4070, 3550, 3600")</f>
        <v>3630, 3200, 3300, 3320, 4070, 3550, 3600</v>
      </c>
      <c r="W52" s="14">
        <f ca="1">IFERROR(__xludf.DUMMYFUNCTION("""COMPUTED_VALUE"""),7)</f>
        <v>7</v>
      </c>
      <c r="X52" s="14" t="str">
        <f ca="1">IFERROR(__xludf.DUMMYFUNCTION("""COMPUTED_VALUE"""),"3650, 3310, 3600, 2980, 3400, 3550")</f>
        <v>3650, 3310, 3600, 2980, 3400, 3550</v>
      </c>
      <c r="Y52" s="14" t="str">
        <f ca="1">IFERROR(__xludf.DUMMYFUNCTION("""COMPUTED_VALUE"""),"ja")</f>
        <v>ja</v>
      </c>
      <c r="Z52" s="14"/>
      <c r="AA52" s="14"/>
      <c r="AB52" s="14" t="str">
        <f ca="1">IFERROR(__xludf.DUMMYFUNCTION("""COMPUTED_VALUE"""),"x")</f>
        <v>x</v>
      </c>
      <c r="AC52" s="14" t="str">
        <f ca="1">IFERROR(__xludf.DUMMYFUNCTION("""COMPUTED_VALUE"""),"x")</f>
        <v>x</v>
      </c>
    </row>
    <row r="53" spans="1:29" ht="12.5" x14ac:dyDescent="0.25">
      <c r="A53" s="14" t="str">
        <f ca="1">IFERROR(__xludf.DUMMYFUNCTION("""COMPUTED_VALUE"""),"Camilla")</f>
        <v>Camilla</v>
      </c>
      <c r="B53" s="14" t="str">
        <f ca="1">IFERROR(__xludf.DUMMYFUNCTION("""COMPUTED_VALUE"""),"HansenBolig")</f>
        <v>HansenBolig</v>
      </c>
      <c r="C53" s="14">
        <f ca="1">IFERROR(__xludf.DUMMYFUNCTION("""COMPUTED_VALUE"""),33317360)</f>
        <v>33317360</v>
      </c>
      <c r="D53" s="14" t="str">
        <f ca="1">IFERROR(__xludf.DUMMYFUNCTION("""COMPUTED_VALUE"""),"MG-SJ: 3.499,-")</f>
        <v>MG-SJ: 3.499,-</v>
      </c>
      <c r="E53" s="14">
        <f ca="1">IFERROR(__xludf.DUMMYFUNCTION("""COMPUTED_VALUE"""),1202)</f>
        <v>1202</v>
      </c>
      <c r="F53" s="14" t="str">
        <f ca="1">IFERROR(__xludf.DUMMYFUNCTION("""COMPUTED_VALUE"""),"Tove Hansen")</f>
        <v>Tove Hansen</v>
      </c>
      <c r="G53" s="14" t="str">
        <f ca="1">IFERROR(__xludf.DUMMYFUNCTION("""COMPUTED_VALUE"""),"kontakt@hansenbolig.dk")</f>
        <v>kontakt@hansenbolig.dk</v>
      </c>
      <c r="H53" s="14">
        <f ca="1">IFERROR(__xludf.DUMMYFUNCTION("""COMPUTED_VALUE"""),40452016)</f>
        <v>40452016</v>
      </c>
      <c r="I53" s="14" t="str">
        <f ca="1">IFERROR(__xludf.DUMMYFUNCTION("""COMPUTED_VALUE"""),"Julius Thomsens Gade 14, 3. th.")</f>
        <v>Julius Thomsens Gade 14, 3. th.</v>
      </c>
      <c r="J53" s="14">
        <f ca="1">IFERROR(__xludf.DUMMYFUNCTION("""COMPUTED_VALUE"""),1632)</f>
        <v>1632</v>
      </c>
      <c r="K53" s="14" t="str">
        <f ca="1">IFERROR(__xludf.DUMMYFUNCTION("""COMPUTED_VALUE"""),"København V")</f>
        <v>København V</v>
      </c>
      <c r="L53" s="14" t="str">
        <f ca="1">IFERROR(__xludf.DUMMYFUNCTION("""COMPUTED_VALUE"""),"København")</f>
        <v>København</v>
      </c>
      <c r="M53" s="14" t="str">
        <f ca="1">IFERROR(__xludf.DUMMYFUNCTION("""COMPUTED_VALUE"""),"København By")</f>
        <v>København By</v>
      </c>
      <c r="N53" s="14" t="str">
        <f ca="1">IFERROR(__xludf.DUMMYFUNCTION("""COMPUTED_VALUE"""),"Hovedstaden")</f>
        <v>Hovedstaden</v>
      </c>
      <c r="O53" s="14">
        <f ca="1">IFERROR(__xludf.DUMMYFUNCTION("""COMPUTED_VALUE"""),40452016)</f>
        <v>40452016</v>
      </c>
      <c r="P53" s="14" t="str">
        <f ca="1">IFERROR(__xludf.DUMMYFUNCTION("""COMPUTED_VALUE"""),"kontakt@hansenbolig.dk")</f>
        <v>kontakt@hansenbolig.dk</v>
      </c>
      <c r="Q53" s="15" t="str">
        <f ca="1">IFERROR(__xludf.DUMMYFUNCTION("""COMPUTED_VALUE"""),"https://www.boliga.dk/maegler/25217")</f>
        <v>https://www.boliga.dk/maegler/25217</v>
      </c>
      <c r="R53" s="14" t="str">
        <f ca="1">IFERROR(__xludf.DUMMYFUNCTION("""COMPUTED_VALUE"""),"-")</f>
        <v>-</v>
      </c>
      <c r="S53" s="14" t="str">
        <f ca="1">IFERROR(__xludf.DUMMYFUNCTION("""COMPUTED_VALUE"""),"-")</f>
        <v>-</v>
      </c>
      <c r="T53" s="14" t="str">
        <f ca="1">IFERROR(__xludf.DUMMYFUNCTION("""COMPUTED_VALUE"""),"-")</f>
        <v>-</v>
      </c>
      <c r="U53" s="14">
        <f ca="1">IFERROR(__xludf.DUMMYFUNCTION("""COMPUTED_VALUE"""),3)</f>
        <v>3</v>
      </c>
      <c r="V53" s="14" t="str">
        <f ca="1">IFERROR(__xludf.DUMMYFUNCTION("""COMPUTED_VALUE"""),"4944, 4970, 3300")</f>
        <v>4944, 4970, 3300</v>
      </c>
      <c r="W53" s="14" t="str">
        <f ca="1">IFERROR(__xludf.DUMMYFUNCTION("""COMPUTED_VALUE"""),"-")</f>
        <v>-</v>
      </c>
      <c r="X53" s="14" t="str">
        <f ca="1">IFERROR(__xludf.DUMMYFUNCTION("""COMPUTED_VALUE"""),"-")</f>
        <v>-</v>
      </c>
      <c r="Y53" s="14" t="str">
        <f ca="1">IFERROR(__xludf.DUMMYFUNCTION("""COMPUTED_VALUE"""),"ja")</f>
        <v>ja</v>
      </c>
      <c r="Z53" s="14"/>
      <c r="AA53" s="14"/>
      <c r="AB53" s="14" t="str">
        <f ca="1">IFERROR(__xludf.DUMMYFUNCTION("""COMPUTED_VALUE"""),"x")</f>
        <v>x</v>
      </c>
      <c r="AC53" s="14" t="str">
        <f ca="1">IFERROR(__xludf.DUMMYFUNCTION("""COMPUTED_VALUE"""),"x")</f>
        <v>x</v>
      </c>
    </row>
    <row r="54" spans="1:29" ht="12.5" x14ac:dyDescent="0.25">
      <c r="A54" s="14" t="str">
        <f ca="1">IFERROR(__xludf.DUMMYFUNCTION("""COMPUTED_VALUE"""),"Camilla")</f>
        <v>Camilla</v>
      </c>
      <c r="B54" s="14" t="str">
        <f ca="1">IFERROR(__xludf.DUMMYFUNCTION("""COMPUTED_VALUE"""),"Herbst Thoregaard Advokater")</f>
        <v>Herbst Thoregaard Advokater</v>
      </c>
      <c r="C54" s="14">
        <f ca="1">IFERROR(__xludf.DUMMYFUNCTION("""COMPUTED_VALUE"""),31370000)</f>
        <v>31370000</v>
      </c>
      <c r="D54" s="14" t="str">
        <f ca="1">IFERROR(__xludf.DUMMYFUNCTION("""COMPUTED_VALUE"""),"MG-SJ: 3.499,-")</f>
        <v>MG-SJ: 3.499,-</v>
      </c>
      <c r="E54" s="14">
        <f ca="1">IFERROR(__xludf.DUMMYFUNCTION("""COMPUTED_VALUE"""),1202)</f>
        <v>1202</v>
      </c>
      <c r="F54" s="14" t="str">
        <f ca="1">IFERROR(__xludf.DUMMYFUNCTION("""COMPUTED_VALUE"""),"Morten Thoregaard")</f>
        <v>Morten Thoregaard</v>
      </c>
      <c r="G54" s="14" t="str">
        <f ca="1">IFERROR(__xludf.DUMMYFUNCTION("""COMPUTED_VALUE"""),"mt@htl.dk")</f>
        <v>mt@htl.dk</v>
      </c>
      <c r="H54" s="14">
        <f ca="1">IFERROR(__xludf.DUMMYFUNCTION("""COMPUTED_VALUE"""),47360025)</f>
        <v>47360025</v>
      </c>
      <c r="I54" s="14" t="str">
        <f ca="1">IFERROR(__xludf.DUMMYFUNCTION("""COMPUTED_VALUE"""),"Ny Østergade 7")</f>
        <v>Ny Østergade 7</v>
      </c>
      <c r="J54" s="14">
        <f ca="1">IFERROR(__xludf.DUMMYFUNCTION("""COMPUTED_VALUE"""),3600)</f>
        <v>3600</v>
      </c>
      <c r="K54" s="14" t="str">
        <f ca="1">IFERROR(__xludf.DUMMYFUNCTION("""COMPUTED_VALUE"""),"Frederikssund")</f>
        <v>Frederikssund</v>
      </c>
      <c r="L54" s="14" t="str">
        <f ca="1">IFERROR(__xludf.DUMMYFUNCTION("""COMPUTED_VALUE"""),"Frederikssund")</f>
        <v>Frederikssund</v>
      </c>
      <c r="M54" s="14" t="str">
        <f ca="1">IFERROR(__xludf.DUMMYFUNCTION("""COMPUTED_VALUE"""),"Nordsjælland")</f>
        <v>Nordsjælland</v>
      </c>
      <c r="N54" s="14" t="str">
        <f ca="1">IFERROR(__xludf.DUMMYFUNCTION("""COMPUTED_VALUE"""),"Hovedstaden")</f>
        <v>Hovedstaden</v>
      </c>
      <c r="O54" s="14">
        <f ca="1">IFERROR(__xludf.DUMMYFUNCTION("""COMPUTED_VALUE"""),47360025)</f>
        <v>47360025</v>
      </c>
      <c r="P54" s="14" t="str">
        <f ca="1">IFERROR(__xludf.DUMMYFUNCTION("""COMPUTED_VALUE"""),"bolig@vtc.dk")</f>
        <v>bolig@vtc.dk</v>
      </c>
      <c r="Q54" s="15" t="str">
        <f ca="1">IFERROR(__xludf.DUMMYFUNCTION("""COMPUTED_VALUE"""),"https://www.boliga.dk/maegler/18206")</f>
        <v>https://www.boliga.dk/maegler/18206</v>
      </c>
      <c r="R54" s="14" t="str">
        <f ca="1">IFERROR(__xludf.DUMMYFUNCTION("""COMPUTED_VALUE"""),"-")</f>
        <v>-</v>
      </c>
      <c r="S54" s="14" t="str">
        <f ca="1">IFERROR(__xludf.DUMMYFUNCTION("""COMPUTED_VALUE"""),"-")</f>
        <v>-</v>
      </c>
      <c r="T54" s="14" t="str">
        <f ca="1">IFERROR(__xludf.DUMMYFUNCTION("""COMPUTED_VALUE"""),"-")</f>
        <v>-</v>
      </c>
      <c r="U54" s="14">
        <f ca="1">IFERROR(__xludf.DUMMYFUNCTION("""COMPUTED_VALUE"""),4)</f>
        <v>4</v>
      </c>
      <c r="V54" s="14" t="str">
        <f ca="1">IFERROR(__xludf.DUMMYFUNCTION("""COMPUTED_VALUE"""),"3630, 4050, 3600")</f>
        <v>3630, 4050, 3600</v>
      </c>
      <c r="W54" s="14">
        <f ca="1">IFERROR(__xludf.DUMMYFUNCTION("""COMPUTED_VALUE"""),8)</f>
        <v>8</v>
      </c>
      <c r="X54" s="14" t="str">
        <f ca="1">IFERROR(__xludf.DUMMYFUNCTION("""COMPUTED_VALUE"""),"2765, 3400, 3600, 3630")</f>
        <v>2765, 3400, 3600, 3630</v>
      </c>
      <c r="Y54" s="14" t="str">
        <f ca="1">IFERROR(__xludf.DUMMYFUNCTION("""COMPUTED_VALUE"""),"ja")</f>
        <v>ja</v>
      </c>
      <c r="Z54" s="14"/>
      <c r="AA54" s="14"/>
      <c r="AB54" s="14" t="str">
        <f ca="1">IFERROR(__xludf.DUMMYFUNCTION("""COMPUTED_VALUE"""),"x")</f>
        <v>x</v>
      </c>
      <c r="AC54" s="14" t="str">
        <f ca="1">IFERROR(__xludf.DUMMYFUNCTION("""COMPUTED_VALUE"""),"x")</f>
        <v>x</v>
      </c>
    </row>
    <row r="55" spans="1:29" ht="12.5" x14ac:dyDescent="0.25">
      <c r="A55" s="14" t="str">
        <f ca="1">IFERROR(__xludf.DUMMYFUNCTION("""COMPUTED_VALUE"""),"Camilla")</f>
        <v>Camilla</v>
      </c>
      <c r="B55" s="14" t="str">
        <f ca="1">IFERROR(__xludf.DUMMYFUNCTION("""COMPUTED_VALUE"""),"Hovmand &amp; Partner ApS")</f>
        <v>Hovmand &amp; Partner ApS</v>
      </c>
      <c r="C55" s="14">
        <f ca="1">IFERROR(__xludf.DUMMYFUNCTION("""COMPUTED_VALUE"""),32478123)</f>
        <v>32478123</v>
      </c>
      <c r="D55" s="14" t="str">
        <f ca="1">IFERROR(__xludf.DUMMYFUNCTION("""COMPUTED_VALUE"""),"MG-SJ: 3.499,-")</f>
        <v>MG-SJ: 3.499,-</v>
      </c>
      <c r="E55" s="14">
        <f ca="1">IFERROR(__xludf.DUMMYFUNCTION("""COMPUTED_VALUE"""),1202)</f>
        <v>1202</v>
      </c>
      <c r="F55" s="14" t="str">
        <f ca="1">IFERROR(__xludf.DUMMYFUNCTION("""COMPUTED_VALUE"""),"Morten Hovmand")</f>
        <v>Morten Hovmand</v>
      </c>
      <c r="G55" s="14" t="str">
        <f ca="1">IFERROR(__xludf.DUMMYFUNCTION("""COMPUTED_VALUE"""),"mho@hovmandpartner.dk")</f>
        <v>mho@hovmandpartner.dk</v>
      </c>
      <c r="H55" s="14">
        <f ca="1">IFERROR(__xludf.DUMMYFUNCTION("""COMPUTED_VALUE"""),27285500)</f>
        <v>27285500</v>
      </c>
      <c r="I55" s="14" t="str">
        <f ca="1">IFERROR(__xludf.DUMMYFUNCTION("""COMPUTED_VALUE"""),"Studiestræde 26")</f>
        <v>Studiestræde 26</v>
      </c>
      <c r="J55" s="14">
        <f ca="1">IFERROR(__xludf.DUMMYFUNCTION("""COMPUTED_VALUE"""),1455)</f>
        <v>1455</v>
      </c>
      <c r="K55" s="14" t="str">
        <f ca="1">IFERROR(__xludf.DUMMYFUNCTION("""COMPUTED_VALUE"""),"København K")</f>
        <v>København K</v>
      </c>
      <c r="L55" s="14" t="str">
        <f ca="1">IFERROR(__xludf.DUMMYFUNCTION("""COMPUTED_VALUE"""),"København")</f>
        <v>København</v>
      </c>
      <c r="M55" s="14" t="str">
        <f ca="1">IFERROR(__xludf.DUMMYFUNCTION("""COMPUTED_VALUE"""),"København By")</f>
        <v>København By</v>
      </c>
      <c r="N55" s="14" t="str">
        <f ca="1">IFERROR(__xludf.DUMMYFUNCTION("""COMPUTED_VALUE"""),"Hovedstaden")</f>
        <v>Hovedstaden</v>
      </c>
      <c r="O55" s="14">
        <f ca="1">IFERROR(__xludf.DUMMYFUNCTION("""COMPUTED_VALUE"""),33330066)</f>
        <v>33330066</v>
      </c>
      <c r="P55" s="14" t="str">
        <f ca="1">IFERROR(__xludf.DUMMYFUNCTION("""COMPUTED_VALUE"""),"mail@hovmandpartner.dk")</f>
        <v>mail@hovmandpartner.dk</v>
      </c>
      <c r="Q55" s="15" t="str">
        <f ca="1">IFERROR(__xludf.DUMMYFUNCTION("""COMPUTED_VALUE"""),"https://www.boliga.dk/maegler/26945")</f>
        <v>https://www.boliga.dk/maegler/26945</v>
      </c>
      <c r="R55" s="14" t="str">
        <f ca="1">IFERROR(__xludf.DUMMYFUNCTION("""COMPUTED_VALUE"""),"-")</f>
        <v>-</v>
      </c>
      <c r="S55" s="14" t="str">
        <f ca="1">IFERROR(__xludf.DUMMYFUNCTION("""COMPUTED_VALUE"""),"-")</f>
        <v>-</v>
      </c>
      <c r="T55" s="14" t="str">
        <f ca="1">IFERROR(__xludf.DUMMYFUNCTION("""COMPUTED_VALUE"""),"-")</f>
        <v>-</v>
      </c>
      <c r="U55" s="14" t="str">
        <f ca="1">IFERROR(__xludf.DUMMYFUNCTION("""COMPUTED_VALUE"""),"-")</f>
        <v>-</v>
      </c>
      <c r="V55" s="14" t="str">
        <f ca="1">IFERROR(__xludf.DUMMYFUNCTION("""COMPUTED_VALUE"""),"-")</f>
        <v>-</v>
      </c>
      <c r="W55" s="14">
        <f ca="1">IFERROR(__xludf.DUMMYFUNCTION("""COMPUTED_VALUE"""),2)</f>
        <v>2</v>
      </c>
      <c r="X55" s="14" t="str">
        <f ca="1">IFERROR(__xludf.DUMMYFUNCTION("""COMPUTED_VALUE"""),"2830, 4671")</f>
        <v>2830, 4671</v>
      </c>
      <c r="Y55" s="14" t="str">
        <f ca="1">IFERROR(__xludf.DUMMYFUNCTION("""COMPUTED_VALUE"""),"ja")</f>
        <v>ja</v>
      </c>
      <c r="Z55" s="14"/>
      <c r="AA55" s="14"/>
      <c r="AB55" s="14" t="str">
        <f ca="1">IFERROR(__xludf.DUMMYFUNCTION("""COMPUTED_VALUE"""),"x")</f>
        <v>x</v>
      </c>
      <c r="AC55" s="14" t="str">
        <f ca="1">IFERROR(__xludf.DUMMYFUNCTION("""COMPUTED_VALUE"""),"x")</f>
        <v>x</v>
      </c>
    </row>
    <row r="56" spans="1:29" ht="12.5" x14ac:dyDescent="0.25">
      <c r="A56" s="14" t="str">
        <f ca="1">IFERROR(__xludf.DUMMYFUNCTION("""COMPUTED_VALUE"""),"Camilla")</f>
        <v>Camilla</v>
      </c>
      <c r="B56" s="14" t="str">
        <f ca="1">IFERROR(__xludf.DUMMYFUNCTION("""COMPUTED_VALUE"""),"Hyllen &amp; Co")</f>
        <v>Hyllen &amp; Co</v>
      </c>
      <c r="C56" s="14">
        <f ca="1">IFERROR(__xludf.DUMMYFUNCTION("""COMPUTED_VALUE"""),42353191)</f>
        <v>42353191</v>
      </c>
      <c r="D56" s="14" t="str">
        <f ca="1">IFERROR(__xludf.DUMMYFUNCTION("""COMPUTED_VALUE"""),"MG-SJ: 3.499,-")</f>
        <v>MG-SJ: 3.499,-</v>
      </c>
      <c r="E56" s="14">
        <f ca="1">IFERROR(__xludf.DUMMYFUNCTION("""COMPUTED_VALUE"""),1202)</f>
        <v>1202</v>
      </c>
      <c r="F56" s="14" t="str">
        <f ca="1">IFERROR(__xludf.DUMMYFUNCTION("""COMPUTED_VALUE"""),"Nicolai Hyllen")</f>
        <v>Nicolai Hyllen</v>
      </c>
      <c r="G56" s="14" t="str">
        <f ca="1">IFERROR(__xludf.DUMMYFUNCTION("""COMPUTED_VALUE"""),"nhm@hyllenogco.dk")</f>
        <v>nhm@hyllenogco.dk</v>
      </c>
      <c r="H56" s="14">
        <f ca="1">IFERROR(__xludf.DUMMYFUNCTION("""COMPUTED_VALUE"""),53892550)</f>
        <v>53892550</v>
      </c>
      <c r="I56" s="14" t="str">
        <f ca="1">IFERROR(__xludf.DUMMYFUNCTION("""COMPUTED_VALUE"""),"Bredgade 6 1.")</f>
        <v>Bredgade 6 1.</v>
      </c>
      <c r="J56" s="14">
        <f ca="1">IFERROR(__xludf.DUMMYFUNCTION("""COMPUTED_VALUE"""),1260)</f>
        <v>1260</v>
      </c>
      <c r="K56" s="14" t="str">
        <f ca="1">IFERROR(__xludf.DUMMYFUNCTION("""COMPUTED_VALUE"""),"København K")</f>
        <v>København K</v>
      </c>
      <c r="L56" s="14" t="str">
        <f ca="1">IFERROR(__xludf.DUMMYFUNCTION("""COMPUTED_VALUE"""),"København")</f>
        <v>København</v>
      </c>
      <c r="M56" s="14" t="str">
        <f ca="1">IFERROR(__xludf.DUMMYFUNCTION("""COMPUTED_VALUE"""),"København By")</f>
        <v>København By</v>
      </c>
      <c r="N56" s="14" t="str">
        <f ca="1">IFERROR(__xludf.DUMMYFUNCTION("""COMPUTED_VALUE"""),"Hovedstaden")</f>
        <v>Hovedstaden</v>
      </c>
      <c r="O56" s="14">
        <f ca="1">IFERROR(__xludf.DUMMYFUNCTION("""COMPUTED_VALUE"""),53892550)</f>
        <v>53892550</v>
      </c>
      <c r="P56" s="14" t="str">
        <f ca="1">IFERROR(__xludf.DUMMYFUNCTION("""COMPUTED_VALUE"""),"info@hyllenogco.dk")</f>
        <v>info@hyllenogco.dk</v>
      </c>
      <c r="Q56" s="15" t="str">
        <f ca="1">IFERROR(__xludf.DUMMYFUNCTION("""COMPUTED_VALUE"""),"https://www.boliga.dk/maegler/28918")</f>
        <v>https://www.boliga.dk/maegler/28918</v>
      </c>
      <c r="R56" s="14" t="str">
        <f ca="1">IFERROR(__xludf.DUMMYFUNCTION("""COMPUTED_VALUE"""),"-")</f>
        <v>-</v>
      </c>
      <c r="S56" s="14" t="str">
        <f ca="1">IFERROR(__xludf.DUMMYFUNCTION("""COMPUTED_VALUE"""),"-")</f>
        <v>-</v>
      </c>
      <c r="T56" s="14" t="str">
        <f ca="1">IFERROR(__xludf.DUMMYFUNCTION("""COMPUTED_VALUE"""),"-")</f>
        <v>-</v>
      </c>
      <c r="U56" s="14">
        <f ca="1">IFERROR(__xludf.DUMMYFUNCTION("""COMPUTED_VALUE"""),3)</f>
        <v>3</v>
      </c>
      <c r="V56" s="14" t="str">
        <f ca="1">IFERROR(__xludf.DUMMYFUNCTION("""COMPUTED_VALUE"""),"1051, 2100")</f>
        <v>1051, 2100</v>
      </c>
      <c r="W56" s="14">
        <f ca="1">IFERROR(__xludf.DUMMYFUNCTION("""COMPUTED_VALUE"""),5)</f>
        <v>5</v>
      </c>
      <c r="X56" s="14" t="str">
        <f ca="1">IFERROR(__xludf.DUMMYFUNCTION("""COMPUTED_VALUE"""),"2000, 2450, 2720")</f>
        <v>2000, 2450, 2720</v>
      </c>
      <c r="Y56" s="14" t="str">
        <f ca="1">IFERROR(__xludf.DUMMYFUNCTION("""COMPUTED_VALUE"""),"ja")</f>
        <v>ja</v>
      </c>
      <c r="Z56" s="14"/>
      <c r="AA56" s="14"/>
      <c r="AB56" s="14" t="str">
        <f ca="1">IFERROR(__xludf.DUMMYFUNCTION("""COMPUTED_VALUE"""),"x")</f>
        <v>x</v>
      </c>
      <c r="AC56" s="14" t="str">
        <f ca="1">IFERROR(__xludf.DUMMYFUNCTION("""COMPUTED_VALUE"""),"x")</f>
        <v>x</v>
      </c>
    </row>
    <row r="57" spans="1:29" ht="12.5" x14ac:dyDescent="0.25">
      <c r="A57" s="14" t="str">
        <f ca="1">IFERROR(__xludf.DUMMYFUNCTION("""COMPUTED_VALUE"""),"Camilla")</f>
        <v>Camilla</v>
      </c>
      <c r="B57" s="14" t="str">
        <f ca="1">IFERROR(__xludf.DUMMYFUNCTION("""COMPUTED_VALUE"""),"iMægler.dk")</f>
        <v>iMægler.dk</v>
      </c>
      <c r="C57" s="14">
        <f ca="1">IFERROR(__xludf.DUMMYFUNCTION("""COMPUTED_VALUE"""),38333003)</f>
        <v>38333003</v>
      </c>
      <c r="D57" s="14" t="str">
        <f ca="1">IFERROR(__xludf.DUMMYFUNCTION("""COMPUTED_VALUE"""),"MG-SJ: 3.499,-")</f>
        <v>MG-SJ: 3.499,-</v>
      </c>
      <c r="E57" s="14">
        <f ca="1">IFERROR(__xludf.DUMMYFUNCTION("""COMPUTED_VALUE"""),1202)</f>
        <v>1202</v>
      </c>
      <c r="F57" s="14" t="str">
        <f ca="1">IFERROR(__xludf.DUMMYFUNCTION("""COMPUTED_VALUE"""),"Jørgen Larsen ")</f>
        <v xml:space="preserve">Jørgen Larsen </v>
      </c>
      <c r="G57" s="14" t="str">
        <f ca="1">IFERROR(__xludf.DUMMYFUNCTION("""COMPUTED_VALUE"""),"jl@imaegler.dk")</f>
        <v>jl@imaegler.dk</v>
      </c>
      <c r="H57" s="14">
        <f ca="1">IFERROR(__xludf.DUMMYFUNCTION("""COMPUTED_VALUE"""),52888852)</f>
        <v>52888852</v>
      </c>
      <c r="I57" s="14" t="str">
        <f ca="1">IFERROR(__xludf.DUMMYFUNCTION("""COMPUTED_VALUE"""),"Vejlebovej")</f>
        <v>Vejlebovej</v>
      </c>
      <c r="J57" s="14">
        <f ca="1">IFERROR(__xludf.DUMMYFUNCTION("""COMPUTED_VALUE"""),2635)</f>
        <v>2635</v>
      </c>
      <c r="K57" s="14" t="str">
        <f ca="1">IFERROR(__xludf.DUMMYFUNCTION("""COMPUTED_VALUE"""),"Ishøj")</f>
        <v>Ishøj</v>
      </c>
      <c r="L57" s="14" t="str">
        <f ca="1">IFERROR(__xludf.DUMMYFUNCTION("""COMPUTED_VALUE"""),"Ishøj")</f>
        <v>Ishøj</v>
      </c>
      <c r="M57" s="14" t="str">
        <f ca="1">IFERROR(__xludf.DUMMYFUNCTION("""COMPUTED_VALUE"""),"Københavns omegn")</f>
        <v>Københavns omegn</v>
      </c>
      <c r="N57" s="14" t="str">
        <f ca="1">IFERROR(__xludf.DUMMYFUNCTION("""COMPUTED_VALUE"""),"Hovedstaden")</f>
        <v>Hovedstaden</v>
      </c>
      <c r="O57" s="14">
        <f ca="1">IFERROR(__xludf.DUMMYFUNCTION("""COMPUTED_VALUE"""),28259889)</f>
        <v>28259889</v>
      </c>
      <c r="P57" s="14" t="str">
        <f ca="1">IFERROR(__xludf.DUMMYFUNCTION("""COMPUTED_VALUE"""),"jl@imaegler.dk")</f>
        <v>jl@imaegler.dk</v>
      </c>
      <c r="Q57" s="15" t="str">
        <f ca="1">IFERROR(__xludf.DUMMYFUNCTION("""COMPUTED_VALUE"""),"https://www.boliga.dk/maegler/25319")</f>
        <v>https://www.boliga.dk/maegler/25319</v>
      </c>
      <c r="R57" s="14" t="str">
        <f ca="1">IFERROR(__xludf.DUMMYFUNCTION("""COMPUTED_VALUE"""),"-")</f>
        <v>-</v>
      </c>
      <c r="S57" s="14" t="str">
        <f ca="1">IFERROR(__xludf.DUMMYFUNCTION("""COMPUTED_VALUE"""),"-")</f>
        <v>-</v>
      </c>
      <c r="T57" s="14" t="str">
        <f ca="1">IFERROR(__xludf.DUMMYFUNCTION("""COMPUTED_VALUE"""),"-")</f>
        <v>-</v>
      </c>
      <c r="U57" s="14">
        <f ca="1">IFERROR(__xludf.DUMMYFUNCTION("""COMPUTED_VALUE"""),3)</f>
        <v>3</v>
      </c>
      <c r="V57" s="14" t="str">
        <f ca="1">IFERROR(__xludf.DUMMYFUNCTION("""COMPUTED_VALUE"""),"2670, 2620, 2630")</f>
        <v>2670, 2620, 2630</v>
      </c>
      <c r="W57" s="14">
        <f ca="1">IFERROR(__xludf.DUMMYFUNCTION("""COMPUTED_VALUE"""),8)</f>
        <v>8</v>
      </c>
      <c r="X57" s="14" t="str">
        <f ca="1">IFERROR(__xludf.DUMMYFUNCTION("""COMPUTED_VALUE"""),"2635, 2620, 2300")</f>
        <v>2635, 2620, 2300</v>
      </c>
      <c r="Y57" s="14" t="str">
        <f ca="1">IFERROR(__xludf.DUMMYFUNCTION("""COMPUTED_VALUE"""),"ja")</f>
        <v>ja</v>
      </c>
      <c r="Z57" s="14"/>
      <c r="AA57" s="14"/>
      <c r="AB57" s="14" t="str">
        <f ca="1">IFERROR(__xludf.DUMMYFUNCTION("""COMPUTED_VALUE"""),"x")</f>
        <v>x</v>
      </c>
      <c r="AC57" s="14" t="str">
        <f ca="1">IFERROR(__xludf.DUMMYFUNCTION("""COMPUTED_VALUE"""),"x")</f>
        <v>x</v>
      </c>
    </row>
    <row r="58" spans="1:29" ht="12.5" x14ac:dyDescent="0.25">
      <c r="A58" s="14" t="str">
        <f ca="1">IFERROR(__xludf.DUMMYFUNCTION("""COMPUTED_VALUE"""),"Camilla")</f>
        <v>Camilla</v>
      </c>
      <c r="B58" s="14" t="str">
        <f ca="1">IFERROR(__xludf.DUMMYFUNCTION("""COMPUTED_VALUE"""),"Jesper Nielsen Amager/Amager Strand")</f>
        <v>Jesper Nielsen Amager/Amager Strand</v>
      </c>
      <c r="C58" s="14">
        <f ca="1">IFERROR(__xludf.DUMMYFUNCTION("""COMPUTED_VALUE"""),42874183)</f>
        <v>42874183</v>
      </c>
      <c r="D58" s="14" t="str">
        <f ca="1">IFERROR(__xludf.DUMMYFUNCTION("""COMPUTED_VALUE"""),"MG-SJ: 3.499,-")</f>
        <v>MG-SJ: 3.499,-</v>
      </c>
      <c r="E58" s="14">
        <f ca="1">IFERROR(__xludf.DUMMYFUNCTION("""COMPUTED_VALUE"""),1202)</f>
        <v>1202</v>
      </c>
      <c r="F58" s="14" t="str">
        <f ca="1">IFERROR(__xludf.DUMMYFUNCTION("""COMPUTED_VALUE"""),"Phillip Pedersen")</f>
        <v>Phillip Pedersen</v>
      </c>
      <c r="G58" s="14" t="str">
        <f ca="1">IFERROR(__xludf.DUMMYFUNCTION("""COMPUTED_VALUE"""),"pp@jespernielsen.dk")</f>
        <v>pp@jespernielsen.dk</v>
      </c>
      <c r="H58" s="14">
        <f ca="1">IFERROR(__xludf.DUMMYFUNCTION("""COMPUTED_VALUE"""),23118384)</f>
        <v>23118384</v>
      </c>
      <c r="I58" s="14" t="str">
        <f ca="1">IFERROR(__xludf.DUMMYFUNCTION("""COMPUTED_VALUE"""),"Amager Strandvej 140E")</f>
        <v>Amager Strandvej 140E</v>
      </c>
      <c r="J58" s="14">
        <f ca="1">IFERROR(__xludf.DUMMYFUNCTION("""COMPUTED_VALUE"""),2300)</f>
        <v>2300</v>
      </c>
      <c r="K58" s="14" t="str">
        <f ca="1">IFERROR(__xludf.DUMMYFUNCTION("""COMPUTED_VALUE"""),"København S")</f>
        <v>København S</v>
      </c>
      <c r="L58" s="14" t="str">
        <f ca="1">IFERROR(__xludf.DUMMYFUNCTION("""COMPUTED_VALUE"""),"København")</f>
        <v>København</v>
      </c>
      <c r="M58" s="14" t="str">
        <f ca="1">IFERROR(__xludf.DUMMYFUNCTION("""COMPUTED_VALUE"""),"København By")</f>
        <v>København By</v>
      </c>
      <c r="N58" s="14" t="str">
        <f ca="1">IFERROR(__xludf.DUMMYFUNCTION("""COMPUTED_VALUE"""),"Hovedstaden")</f>
        <v>Hovedstaden</v>
      </c>
      <c r="O58" s="14">
        <f ca="1">IFERROR(__xludf.DUMMYFUNCTION("""COMPUTED_VALUE"""),88446000)</f>
        <v>88446000</v>
      </c>
      <c r="P58" s="14" t="str">
        <f ca="1">IFERROR(__xludf.DUMMYFUNCTION("""COMPUTED_VALUE"""),"findhjem2300@jespernielsen.dk")</f>
        <v>findhjem2300@jespernielsen.dk</v>
      </c>
      <c r="Q58" s="15" t="str">
        <f ca="1">IFERROR(__xludf.DUMMYFUNCTION("""COMPUTED_VALUE"""),"https://www.boliga.dk/maegler/27284")</f>
        <v>https://www.boliga.dk/maegler/27284</v>
      </c>
      <c r="R58" s="14" t="str">
        <f ca="1">IFERROR(__xludf.DUMMYFUNCTION("""COMPUTED_VALUE"""),"-")</f>
        <v>-</v>
      </c>
      <c r="S58" s="14" t="str">
        <f ca="1">IFERROR(__xludf.DUMMYFUNCTION("""COMPUTED_VALUE"""),"-")</f>
        <v>-</v>
      </c>
      <c r="T58" s="14" t="str">
        <f ca="1">IFERROR(__xludf.DUMMYFUNCTION("""COMPUTED_VALUE"""),"-")</f>
        <v>-</v>
      </c>
      <c r="U58" s="14">
        <f ca="1">IFERROR(__xludf.DUMMYFUNCTION("""COMPUTED_VALUE"""),12)</f>
        <v>12</v>
      </c>
      <c r="V58" s="14" t="str">
        <f ca="1">IFERROR(__xludf.DUMMYFUNCTION("""COMPUTED_VALUE"""),"2720, 2770, 2300, 2791, 4660")</f>
        <v>2720, 2770, 2300, 2791, 4660</v>
      </c>
      <c r="W58" s="14">
        <f ca="1">IFERROR(__xludf.DUMMYFUNCTION("""COMPUTED_VALUE"""),6)</f>
        <v>6</v>
      </c>
      <c r="X58" s="14" t="str">
        <f ca="1">IFERROR(__xludf.DUMMYFUNCTION("""COMPUTED_VALUE"""),"1970, 2300")</f>
        <v>1970, 2300</v>
      </c>
      <c r="Y58" s="14" t="str">
        <f ca="1">IFERROR(__xludf.DUMMYFUNCTION("""COMPUTED_VALUE"""),"ja")</f>
        <v>ja</v>
      </c>
      <c r="Z58" s="14"/>
      <c r="AA58" s="14"/>
      <c r="AB58" s="14" t="str">
        <f ca="1">IFERROR(__xludf.DUMMYFUNCTION("""COMPUTED_VALUE"""),"x")</f>
        <v>x</v>
      </c>
      <c r="AC58" s="14" t="str">
        <f ca="1">IFERROR(__xludf.DUMMYFUNCTION("""COMPUTED_VALUE"""),"x")</f>
        <v>x</v>
      </c>
    </row>
    <row r="59" spans="1:29" ht="12.5" x14ac:dyDescent="0.25">
      <c r="A59" s="14" t="str">
        <f ca="1">IFERROR(__xludf.DUMMYFUNCTION("""COMPUTED_VALUE"""),"Camilla")</f>
        <v>Camilla</v>
      </c>
      <c r="B59" s="14" t="str">
        <f ca="1">IFERROR(__xludf.DUMMYFUNCTION("""COMPUTED_VALUE"""),"Jesper Nielsen Charlottenlund")</f>
        <v>Jesper Nielsen Charlottenlund</v>
      </c>
      <c r="C59" s="14">
        <f ca="1">IFERROR(__xludf.DUMMYFUNCTION("""COMPUTED_VALUE"""),39223651)</f>
        <v>39223651</v>
      </c>
      <c r="D59" s="14" t="str">
        <f ca="1">IFERROR(__xludf.DUMMYFUNCTION("""COMPUTED_VALUE"""),"MG-SJ: 3.499,-")</f>
        <v>MG-SJ: 3.499,-</v>
      </c>
      <c r="E59" s="14">
        <f ca="1">IFERROR(__xludf.DUMMYFUNCTION("""COMPUTED_VALUE"""),1202)</f>
        <v>1202</v>
      </c>
      <c r="F59" s="14" t="str">
        <f ca="1">IFERROR(__xludf.DUMMYFUNCTION("""COMPUTED_VALUE"""),"Nirekha")</f>
        <v>Nirekha</v>
      </c>
      <c r="G59" s="14" t="str">
        <f ca="1">IFERROR(__xludf.DUMMYFUNCTION("""COMPUTED_VALUE"""),"ns@jespernielsen.dk")</f>
        <v>ns@jespernielsen.dk</v>
      </c>
      <c r="H59" s="14">
        <f ca="1">IFERROR(__xludf.DUMMYFUNCTION("""COMPUTED_VALUE"""),53568161)</f>
        <v>53568161</v>
      </c>
      <c r="I59" s="14" t="str">
        <f ca="1">IFERROR(__xludf.DUMMYFUNCTION("""COMPUTED_VALUE"""),"Ordrupvej 91")</f>
        <v>Ordrupvej 91</v>
      </c>
      <c r="J59" s="14">
        <f ca="1">IFERROR(__xludf.DUMMYFUNCTION("""COMPUTED_VALUE"""),2920)</f>
        <v>2920</v>
      </c>
      <c r="K59" s="14" t="str">
        <f ca="1">IFERROR(__xludf.DUMMYFUNCTION("""COMPUTED_VALUE"""),"Charlottenlund")</f>
        <v>Charlottenlund</v>
      </c>
      <c r="L59" s="14" t="str">
        <f ca="1">IFERROR(__xludf.DUMMYFUNCTION("""COMPUTED_VALUE"""),"Gentofte")</f>
        <v>Gentofte</v>
      </c>
      <c r="M59" s="14" t="str">
        <f ca="1">IFERROR(__xludf.DUMMYFUNCTION("""COMPUTED_VALUE"""),"Københavns omegn")</f>
        <v>Københavns omegn</v>
      </c>
      <c r="N59" s="14" t="str">
        <f ca="1">IFERROR(__xludf.DUMMYFUNCTION("""COMPUTED_VALUE"""),"Hovedstaden")</f>
        <v>Hovedstaden</v>
      </c>
      <c r="O59" s="14">
        <f ca="1">IFERROR(__xludf.DUMMYFUNCTION("""COMPUTED_VALUE"""),88446017)</f>
        <v>88446017</v>
      </c>
      <c r="P59" s="14" t="str">
        <f ca="1">IFERROR(__xludf.DUMMYFUNCTION("""COMPUTED_VALUE"""),"findhjem2920@jespernielsen.dk")</f>
        <v>findhjem2920@jespernielsen.dk</v>
      </c>
      <c r="Q59" s="15" t="str">
        <f ca="1">IFERROR(__xludf.DUMMYFUNCTION("""COMPUTED_VALUE"""),"https://www.boliga.dk/maegler/25192")</f>
        <v>https://www.boliga.dk/maegler/25192</v>
      </c>
      <c r="R59" s="14" t="str">
        <f ca="1">IFERROR(__xludf.DUMMYFUNCTION("""COMPUTED_VALUE"""),"-")</f>
        <v>-</v>
      </c>
      <c r="S59" s="14" t="str">
        <f ca="1">IFERROR(__xludf.DUMMYFUNCTION("""COMPUTED_VALUE"""),"-")</f>
        <v>-</v>
      </c>
      <c r="T59" s="14" t="str">
        <f ca="1">IFERROR(__xludf.DUMMYFUNCTION("""COMPUTED_VALUE"""),"-")</f>
        <v>-</v>
      </c>
      <c r="U59" s="14">
        <f ca="1">IFERROR(__xludf.DUMMYFUNCTION("""COMPUTED_VALUE"""),12)</f>
        <v>12</v>
      </c>
      <c r="V59" s="14" t="str">
        <f ca="1">IFERROR(__xludf.DUMMYFUNCTION("""COMPUTED_VALUE"""),"2820, 2920, 2900, 2930")</f>
        <v>2820, 2920, 2900, 2930</v>
      </c>
      <c r="W59" s="14">
        <f ca="1">IFERROR(__xludf.DUMMYFUNCTION("""COMPUTED_VALUE"""),7)</f>
        <v>7</v>
      </c>
      <c r="X59" s="14" t="str">
        <f ca="1">IFERROR(__xludf.DUMMYFUNCTION("""COMPUTED_VALUE"""),"2820, 2920, 2930")</f>
        <v>2820, 2920, 2930</v>
      </c>
      <c r="Y59" s="14" t="str">
        <f ca="1">IFERROR(__xludf.DUMMYFUNCTION("""COMPUTED_VALUE"""),"ja")</f>
        <v>ja</v>
      </c>
      <c r="Z59" s="14"/>
      <c r="AA59" s="14"/>
      <c r="AB59" s="14" t="str">
        <f ca="1">IFERROR(__xludf.DUMMYFUNCTION("""COMPUTED_VALUE"""),"x")</f>
        <v>x</v>
      </c>
      <c r="AC59" s="14" t="str">
        <f ca="1">IFERROR(__xludf.DUMMYFUNCTION("""COMPUTED_VALUE"""),"x")</f>
        <v>x</v>
      </c>
    </row>
    <row r="60" spans="1:29" ht="12.5" x14ac:dyDescent="0.25">
      <c r="A60" s="14" t="str">
        <f ca="1">IFERROR(__xludf.DUMMYFUNCTION("""COMPUTED_VALUE"""),"Camilla")</f>
        <v>Camilla</v>
      </c>
      <c r="B60" s="14" t="str">
        <f ca="1">IFERROR(__xludf.DUMMYFUNCTION("""COMPUTED_VALUE"""),"Jesper Nielsen Gentofte/Vangede")</f>
        <v>Jesper Nielsen Gentofte/Vangede</v>
      </c>
      <c r="C60" s="14">
        <f ca="1">IFERROR(__xludf.DUMMYFUNCTION("""COMPUTED_VALUE"""),32286879)</f>
        <v>32286879</v>
      </c>
      <c r="D60" s="14" t="str">
        <f ca="1">IFERROR(__xludf.DUMMYFUNCTION("""COMPUTED_VALUE"""),"MG-SJ: 3.499,-")</f>
        <v>MG-SJ: 3.499,-</v>
      </c>
      <c r="E60" s="14">
        <f ca="1">IFERROR(__xludf.DUMMYFUNCTION("""COMPUTED_VALUE"""),1202)</f>
        <v>1202</v>
      </c>
      <c r="F60" s="14" t="str">
        <f ca="1">IFERROR(__xludf.DUMMYFUNCTION("""COMPUTED_VALUE"""),"Christian Müller")</f>
        <v>Christian Müller</v>
      </c>
      <c r="G60" s="15" t="str">
        <f ca="1">IFERROR(__xludf.DUMMYFUNCTION("""COMPUTED_VALUE"""),"CBM@JESPERNIELSEN.DK")</f>
        <v>CBM@JESPERNIELSEN.DK</v>
      </c>
      <c r="H60" s="14">
        <f ca="1">IFERROR(__xludf.DUMMYFUNCTION("""COMPUTED_VALUE"""),23209888)</f>
        <v>23209888</v>
      </c>
      <c r="I60" s="14" t="str">
        <f ca="1">IFERROR(__xludf.DUMMYFUNCTION("""COMPUTED_VALUE"""),"Vangedevej 137")</f>
        <v>Vangedevej 137</v>
      </c>
      <c r="J60" s="14">
        <f ca="1">IFERROR(__xludf.DUMMYFUNCTION("""COMPUTED_VALUE"""),2820)</f>
        <v>2820</v>
      </c>
      <c r="K60" s="14" t="str">
        <f ca="1">IFERROR(__xludf.DUMMYFUNCTION("""COMPUTED_VALUE"""),"Gentofte")</f>
        <v>Gentofte</v>
      </c>
      <c r="L60" s="14" t="str">
        <f ca="1">IFERROR(__xludf.DUMMYFUNCTION("""COMPUTED_VALUE"""),"Gentofte")</f>
        <v>Gentofte</v>
      </c>
      <c r="M60" s="14" t="str">
        <f ca="1">IFERROR(__xludf.DUMMYFUNCTION("""COMPUTED_VALUE"""),"Københavns omegn")</f>
        <v>Københavns omegn</v>
      </c>
      <c r="N60" s="14" t="str">
        <f ca="1">IFERROR(__xludf.DUMMYFUNCTION("""COMPUTED_VALUE"""),"Hovedstaden")</f>
        <v>Hovedstaden</v>
      </c>
      <c r="O60" s="14">
        <f ca="1">IFERROR(__xludf.DUMMYFUNCTION("""COMPUTED_VALUE"""),88446000)</f>
        <v>88446000</v>
      </c>
      <c r="P60" s="14" t="str">
        <f ca="1">IFERROR(__xludf.DUMMYFUNCTION("""COMPUTED_VALUE"""),"Findhjem2820@jespernielsen.dk")</f>
        <v>Findhjem2820@jespernielsen.dk</v>
      </c>
      <c r="Q60" s="15" t="str">
        <f ca="1">IFERROR(__xludf.DUMMYFUNCTION("""COMPUTED_VALUE"""),"https://www.boliga.dk/maegler/26981")</f>
        <v>https://www.boliga.dk/maegler/26981</v>
      </c>
      <c r="R60" s="14" t="str">
        <f ca="1">IFERROR(__xludf.DUMMYFUNCTION("""COMPUTED_VALUE"""),"-")</f>
        <v>-</v>
      </c>
      <c r="S60" s="14" t="str">
        <f ca="1">IFERROR(__xludf.DUMMYFUNCTION("""COMPUTED_VALUE"""),"-")</f>
        <v>-</v>
      </c>
      <c r="T60" s="14" t="str">
        <f ca="1">IFERROR(__xludf.DUMMYFUNCTION("""COMPUTED_VALUE"""),"-")</f>
        <v>-</v>
      </c>
      <c r="U60" s="14">
        <f ca="1">IFERROR(__xludf.DUMMYFUNCTION("""COMPUTED_VALUE"""),2)</f>
        <v>2</v>
      </c>
      <c r="V60" s="14" t="str">
        <f ca="1">IFERROR(__xludf.DUMMYFUNCTION("""COMPUTED_VALUE"""),"2960, 2820")</f>
        <v>2960, 2820</v>
      </c>
      <c r="W60" s="14">
        <f ca="1">IFERROR(__xludf.DUMMYFUNCTION("""COMPUTED_VALUE"""),7)</f>
        <v>7</v>
      </c>
      <c r="X60" s="14" t="str">
        <f ca="1">IFERROR(__xludf.DUMMYFUNCTION("""COMPUTED_VALUE"""),"2770, 2000, 2100, 2850, 2820, 3220")</f>
        <v>2770, 2000, 2100, 2850, 2820, 3220</v>
      </c>
      <c r="Y60" s="14" t="str">
        <f ca="1">IFERROR(__xludf.DUMMYFUNCTION("""COMPUTED_VALUE"""),"ja")</f>
        <v>ja</v>
      </c>
      <c r="Z60" s="14"/>
      <c r="AA60" s="14"/>
      <c r="AB60" s="14" t="str">
        <f ca="1">IFERROR(__xludf.DUMMYFUNCTION("""COMPUTED_VALUE"""),"x")</f>
        <v>x</v>
      </c>
      <c r="AC60" s="14" t="str">
        <f ca="1">IFERROR(__xludf.DUMMYFUNCTION("""COMPUTED_VALUE"""),"x")</f>
        <v>x</v>
      </c>
    </row>
    <row r="61" spans="1:29" ht="12.5" x14ac:dyDescent="0.25">
      <c r="A61" s="14" t="str">
        <f ca="1">IFERROR(__xludf.DUMMYFUNCTION("""COMPUTED_VALUE"""),"Camilla")</f>
        <v>Camilla</v>
      </c>
      <c r="B61" s="14" t="str">
        <f ca="1">IFERROR(__xludf.DUMMYFUNCTION("""COMPUTED_VALUE"""),"Jesper Nielsen Helsingør/Nordkysten")</f>
        <v>Jesper Nielsen Helsingør/Nordkysten</v>
      </c>
      <c r="C61" s="14">
        <f ca="1">IFERROR(__xludf.DUMMYFUNCTION("""COMPUTED_VALUE"""),42412694)</f>
        <v>42412694</v>
      </c>
      <c r="D61" s="14" t="str">
        <f ca="1">IFERROR(__xludf.DUMMYFUNCTION("""COMPUTED_VALUE"""),"MG-SJ: 3.499,-")</f>
        <v>MG-SJ: 3.499,-</v>
      </c>
      <c r="E61" s="14">
        <f ca="1">IFERROR(__xludf.DUMMYFUNCTION("""COMPUTED_VALUE"""),1202)</f>
        <v>1202</v>
      </c>
      <c r="F61" s="14" t="str">
        <f ca="1">IFERROR(__xludf.DUMMYFUNCTION("""COMPUTED_VALUE"""),"Emil Gohr")</f>
        <v>Emil Gohr</v>
      </c>
      <c r="G61" s="14" t="str">
        <f ca="1">IFERROR(__xludf.DUMMYFUNCTION("""COMPUTED_VALUE"""),"eg@jespernielsen.dk")</f>
        <v>eg@jespernielsen.dk</v>
      </c>
      <c r="H61" s="14">
        <f ca="1">IFERROR(__xludf.DUMMYFUNCTION("""COMPUTED_VALUE"""),31318181)</f>
        <v>31318181</v>
      </c>
      <c r="I61" s="14" t="str">
        <f ca="1">IFERROR(__xludf.DUMMYFUNCTION("""COMPUTED_VALUE"""),"Bjergegade 21")</f>
        <v>Bjergegade 21</v>
      </c>
      <c r="J61" s="14">
        <f ca="1">IFERROR(__xludf.DUMMYFUNCTION("""COMPUTED_VALUE"""),3000)</f>
        <v>3000</v>
      </c>
      <c r="K61" s="14" t="str">
        <f ca="1">IFERROR(__xludf.DUMMYFUNCTION("""COMPUTED_VALUE"""),"Helsingør")</f>
        <v>Helsingør</v>
      </c>
      <c r="L61" s="14" t="str">
        <f ca="1">IFERROR(__xludf.DUMMYFUNCTION("""COMPUTED_VALUE"""),"Helsingør")</f>
        <v>Helsingør</v>
      </c>
      <c r="M61" s="14" t="str">
        <f ca="1">IFERROR(__xludf.DUMMYFUNCTION("""COMPUTED_VALUE"""),"Nordsjælland")</f>
        <v>Nordsjælland</v>
      </c>
      <c r="N61" s="14" t="str">
        <f ca="1">IFERROR(__xludf.DUMMYFUNCTION("""COMPUTED_VALUE"""),"Hovedstaden")</f>
        <v>Hovedstaden</v>
      </c>
      <c r="O61" s="14" t="str">
        <f ca="1">IFERROR(__xludf.DUMMYFUNCTION("""COMPUTED_VALUE"""),"8844 6000")</f>
        <v>8844 6000</v>
      </c>
      <c r="P61" s="14" t="str">
        <f ca="1">IFERROR(__xludf.DUMMYFUNCTION("""COMPUTED_VALUE"""),"FINDHJEM3000@JESPERNIELSEN.DK")</f>
        <v>FINDHJEM3000@JESPERNIELSEN.DK</v>
      </c>
      <c r="Q61" s="15" t="str">
        <f ca="1">IFERROR(__xludf.DUMMYFUNCTION("""COMPUTED_VALUE"""),"https://www.boliga.dk/maegler/29034")</f>
        <v>https://www.boliga.dk/maegler/29034</v>
      </c>
      <c r="R61" s="14" t="str">
        <f ca="1">IFERROR(__xludf.DUMMYFUNCTION("""COMPUTED_VALUE"""),"-")</f>
        <v>-</v>
      </c>
      <c r="S61" s="14" t="str">
        <f ca="1">IFERROR(__xludf.DUMMYFUNCTION("""COMPUTED_VALUE"""),"-")</f>
        <v>-</v>
      </c>
      <c r="T61" s="14" t="str">
        <f ca="1">IFERROR(__xludf.DUMMYFUNCTION("""COMPUTED_VALUE"""),"-")</f>
        <v>-</v>
      </c>
      <c r="U61" s="14">
        <f ca="1">IFERROR(__xludf.DUMMYFUNCTION("""COMPUTED_VALUE"""),5)</f>
        <v>5</v>
      </c>
      <c r="V61" s="14" t="str">
        <f ca="1">IFERROR(__xludf.DUMMYFUNCTION("""COMPUTED_VALUE"""),"3210, 3100, 3200, 3250")</f>
        <v>3210, 3100, 3200, 3250</v>
      </c>
      <c r="W61" s="14">
        <f ca="1">IFERROR(__xludf.DUMMYFUNCTION("""COMPUTED_VALUE"""),5)</f>
        <v>5</v>
      </c>
      <c r="X61" s="14" t="str">
        <f ca="1">IFERROR(__xludf.DUMMYFUNCTION("""COMPUTED_VALUE"""),"3210, 3250, 3000")</f>
        <v>3210, 3250, 3000</v>
      </c>
      <c r="Y61" s="14" t="str">
        <f ca="1">IFERROR(__xludf.DUMMYFUNCTION("""COMPUTED_VALUE"""),"ja")</f>
        <v>ja</v>
      </c>
      <c r="Z61" s="14"/>
      <c r="AA61" s="14"/>
      <c r="AB61" s="14" t="str">
        <f ca="1">IFERROR(__xludf.DUMMYFUNCTION("""COMPUTED_VALUE"""),"x")</f>
        <v>x</v>
      </c>
      <c r="AC61" s="14" t="str">
        <f ca="1">IFERROR(__xludf.DUMMYFUNCTION("""COMPUTED_VALUE"""),"x")</f>
        <v>x</v>
      </c>
    </row>
    <row r="62" spans="1:29" ht="12.5" x14ac:dyDescent="0.25">
      <c r="A62" s="14" t="str">
        <f ca="1">IFERROR(__xludf.DUMMYFUNCTION("""COMPUTED_VALUE"""),"Camilla")</f>
        <v>Camilla</v>
      </c>
      <c r="B62" s="14" t="str">
        <f ca="1">IFERROR(__xludf.DUMMYFUNCTION("""COMPUTED_VALUE"""),"Jesper Nielsen Hørsholm/Rungsted")</f>
        <v>Jesper Nielsen Hørsholm/Rungsted</v>
      </c>
      <c r="C62" s="14">
        <f ca="1">IFERROR(__xludf.DUMMYFUNCTION("""COMPUTED_VALUE"""),41381337)</f>
        <v>41381337</v>
      </c>
      <c r="D62" s="14" t="str">
        <f ca="1">IFERROR(__xludf.DUMMYFUNCTION("""COMPUTED_VALUE"""),"MG-SJ: 3.499,-")</f>
        <v>MG-SJ: 3.499,-</v>
      </c>
      <c r="E62" s="14">
        <f ca="1">IFERROR(__xludf.DUMMYFUNCTION("""COMPUTED_VALUE"""),1202)</f>
        <v>1202</v>
      </c>
      <c r="F62" s="14" t="str">
        <f ca="1">IFERROR(__xludf.DUMMYFUNCTION("""COMPUTED_VALUE"""),"Johan Sørensen")</f>
        <v>Johan Sørensen</v>
      </c>
      <c r="G62" s="15" t="str">
        <f ca="1">IFERROR(__xludf.DUMMYFUNCTION("""COMPUTED_VALUE"""),"JPS@JESPERNIELSEN.DK")</f>
        <v>JPS@JESPERNIELSEN.DK</v>
      </c>
      <c r="H62" s="14">
        <f ca="1">IFERROR(__xludf.DUMMYFUNCTION("""COMPUTED_VALUE"""),31317463)</f>
        <v>31317463</v>
      </c>
      <c r="I62" s="14" t="str">
        <f ca="1">IFERROR(__xludf.DUMMYFUNCTION("""COMPUTED_VALUE"""),"Rungstedvej 86")</f>
        <v>Rungstedvej 86</v>
      </c>
      <c r="J62" s="14">
        <f ca="1">IFERROR(__xludf.DUMMYFUNCTION("""COMPUTED_VALUE"""),2960)</f>
        <v>2960</v>
      </c>
      <c r="K62" s="14" t="str">
        <f ca="1">IFERROR(__xludf.DUMMYFUNCTION("""COMPUTED_VALUE"""),"Rungsted Kyst")</f>
        <v>Rungsted Kyst</v>
      </c>
      <c r="L62" s="14" t="str">
        <f ca="1">IFERROR(__xludf.DUMMYFUNCTION("""COMPUTED_VALUE"""),"Hørsholm")</f>
        <v>Hørsholm</v>
      </c>
      <c r="M62" s="14" t="str">
        <f ca="1">IFERROR(__xludf.DUMMYFUNCTION("""COMPUTED_VALUE"""),"Nordsjælland")</f>
        <v>Nordsjælland</v>
      </c>
      <c r="N62" s="14" t="str">
        <f ca="1">IFERROR(__xludf.DUMMYFUNCTION("""COMPUTED_VALUE"""),"Hovedstaden")</f>
        <v>Hovedstaden</v>
      </c>
      <c r="O62" s="14">
        <f ca="1">IFERROR(__xludf.DUMMYFUNCTION("""COMPUTED_VALUE"""),88446000)</f>
        <v>88446000</v>
      </c>
      <c r="P62" s="14" t="str">
        <f ca="1">IFERROR(__xludf.DUMMYFUNCTION("""COMPUTED_VALUE"""),"findhjem2960@jespernielsen.dk")</f>
        <v>findhjem2960@jespernielsen.dk</v>
      </c>
      <c r="Q62" s="15" t="str">
        <f ca="1">IFERROR(__xludf.DUMMYFUNCTION("""COMPUTED_VALUE"""),"https://www.boliga.dk/maegler/26993")</f>
        <v>https://www.boliga.dk/maegler/26993</v>
      </c>
      <c r="R62" s="14" t="str">
        <f ca="1">IFERROR(__xludf.DUMMYFUNCTION("""COMPUTED_VALUE"""),"-")</f>
        <v>-</v>
      </c>
      <c r="S62" s="14" t="str">
        <f ca="1">IFERROR(__xludf.DUMMYFUNCTION("""COMPUTED_VALUE"""),"-")</f>
        <v>-</v>
      </c>
      <c r="T62" s="14" t="str">
        <f ca="1">IFERROR(__xludf.DUMMYFUNCTION("""COMPUTED_VALUE"""),"-")</f>
        <v>-</v>
      </c>
      <c r="U62" s="14">
        <f ca="1">IFERROR(__xludf.DUMMYFUNCTION("""COMPUTED_VALUE"""),5)</f>
        <v>5</v>
      </c>
      <c r="V62" s="14" t="str">
        <f ca="1">IFERROR(__xludf.DUMMYFUNCTION("""COMPUTED_VALUE"""),"2980, 2970, 3400, 3480, 3320")</f>
        <v>2980, 2970, 3400, 3480, 3320</v>
      </c>
      <c r="W62" s="14">
        <f ca="1">IFERROR(__xludf.DUMMYFUNCTION("""COMPUTED_VALUE"""),9)</f>
        <v>9</v>
      </c>
      <c r="X62" s="14" t="str">
        <f ca="1">IFERROR(__xludf.DUMMYFUNCTION("""COMPUTED_VALUE"""),"2970, 2960, 3480, 2980, 3060, 3400")</f>
        <v>2970, 2960, 3480, 2980, 3060, 3400</v>
      </c>
      <c r="Y62" s="14" t="str">
        <f ca="1">IFERROR(__xludf.DUMMYFUNCTION("""COMPUTED_VALUE"""),"ja")</f>
        <v>ja</v>
      </c>
      <c r="Z62" s="14"/>
      <c r="AA62" s="14"/>
      <c r="AB62" s="14" t="str">
        <f ca="1">IFERROR(__xludf.DUMMYFUNCTION("""COMPUTED_VALUE"""),"x")</f>
        <v>x</v>
      </c>
      <c r="AC62" s="14" t="str">
        <f ca="1">IFERROR(__xludf.DUMMYFUNCTION("""COMPUTED_VALUE"""),"x")</f>
        <v>x</v>
      </c>
    </row>
    <row r="63" spans="1:29" ht="12.5" x14ac:dyDescent="0.25">
      <c r="A63" s="14" t="str">
        <f ca="1">IFERROR(__xludf.DUMMYFUNCTION("""COMPUTED_VALUE"""),"Camilla")</f>
        <v>Camilla</v>
      </c>
      <c r="B63" s="14" t="str">
        <f ca="1">IFERROR(__xludf.DUMMYFUNCTION("""COMPUTED_VALUE"""),"Jesper Nielsen Østerbro/City")</f>
        <v>Jesper Nielsen Østerbro/City</v>
      </c>
      <c r="C63" s="14">
        <f ca="1">IFERROR(__xludf.DUMMYFUNCTION("""COMPUTED_VALUE"""),41209526)</f>
        <v>41209526</v>
      </c>
      <c r="D63" s="14" t="str">
        <f ca="1">IFERROR(__xludf.DUMMYFUNCTION("""COMPUTED_VALUE"""),"MG-SJ: 3.499,-")</f>
        <v>MG-SJ: 3.499,-</v>
      </c>
      <c r="E63" s="14">
        <f ca="1">IFERROR(__xludf.DUMMYFUNCTION("""COMPUTED_VALUE"""),1202)</f>
        <v>1202</v>
      </c>
      <c r="F63" s="14" t="str">
        <f ca="1">IFERROR(__xludf.DUMMYFUNCTION("""COMPUTED_VALUE"""),"Brian Schultz")</f>
        <v>Brian Schultz</v>
      </c>
      <c r="G63" s="14" t="str">
        <f ca="1">IFERROR(__xludf.DUMMYFUNCTION("""COMPUTED_VALUE"""),"bs@jespernielsen.dk")</f>
        <v>bs@jespernielsen.dk</v>
      </c>
      <c r="H63" s="14">
        <f ca="1">IFERROR(__xludf.DUMMYFUNCTION("""COMPUTED_VALUE"""),26119380)</f>
        <v>26119380</v>
      </c>
      <c r="I63" s="14" t="str">
        <f ca="1">IFERROR(__xludf.DUMMYFUNCTION("""COMPUTED_VALUE"""),"Dag Hammarskjölds Allé 31")</f>
        <v>Dag Hammarskjölds Allé 31</v>
      </c>
      <c r="J63" s="14">
        <f ca="1">IFERROR(__xludf.DUMMYFUNCTION("""COMPUTED_VALUE"""),2100)</f>
        <v>2100</v>
      </c>
      <c r="K63" s="14" t="str">
        <f ca="1">IFERROR(__xludf.DUMMYFUNCTION("""COMPUTED_VALUE"""),"København Ø")</f>
        <v>København Ø</v>
      </c>
      <c r="L63" s="14" t="str">
        <f ca="1">IFERROR(__xludf.DUMMYFUNCTION("""COMPUTED_VALUE"""),"København")</f>
        <v>København</v>
      </c>
      <c r="M63" s="14" t="str">
        <f ca="1">IFERROR(__xludf.DUMMYFUNCTION("""COMPUTED_VALUE"""),"København By")</f>
        <v>København By</v>
      </c>
      <c r="N63" s="14" t="str">
        <f ca="1">IFERROR(__xludf.DUMMYFUNCTION("""COMPUTED_VALUE"""),"Hovedstaden")</f>
        <v>Hovedstaden</v>
      </c>
      <c r="O63" s="14">
        <f ca="1">IFERROR(__xludf.DUMMYFUNCTION("""COMPUTED_VALUE"""),88446000)</f>
        <v>88446000</v>
      </c>
      <c r="P63" s="14" t="str">
        <f ca="1">IFERROR(__xludf.DUMMYFUNCTION("""COMPUTED_VALUE"""),"findhjem2100@jespernielsen.dk")</f>
        <v>findhjem2100@jespernielsen.dk</v>
      </c>
      <c r="Q63" s="15" t="str">
        <f ca="1">IFERROR(__xludf.DUMMYFUNCTION("""COMPUTED_VALUE"""),"https://www.boliga.dk/maegler/26992")</f>
        <v>https://www.boliga.dk/maegler/26992</v>
      </c>
      <c r="R63" s="14" t="str">
        <f ca="1">IFERROR(__xludf.DUMMYFUNCTION("""COMPUTED_VALUE"""),"-")</f>
        <v>-</v>
      </c>
      <c r="S63" s="14" t="str">
        <f ca="1">IFERROR(__xludf.DUMMYFUNCTION("""COMPUTED_VALUE"""),"-")</f>
        <v>-</v>
      </c>
      <c r="T63" s="14" t="str">
        <f ca="1">IFERROR(__xludf.DUMMYFUNCTION("""COMPUTED_VALUE"""),"-")</f>
        <v>-</v>
      </c>
      <c r="U63" s="14">
        <f ca="1">IFERROR(__xludf.DUMMYFUNCTION("""COMPUTED_VALUE"""),9)</f>
        <v>9</v>
      </c>
      <c r="V63" s="14" t="str">
        <f ca="1">IFERROR(__xludf.DUMMYFUNCTION("""COMPUTED_VALUE"""),"1119, 3200, 1366, 2100, 2820")</f>
        <v>1119, 3200, 1366, 2100, 2820</v>
      </c>
      <c r="W63" s="14">
        <f ca="1">IFERROR(__xludf.DUMMYFUNCTION("""COMPUTED_VALUE"""),5)</f>
        <v>5</v>
      </c>
      <c r="X63" s="14" t="str">
        <f ca="1">IFERROR(__xludf.DUMMYFUNCTION("""COMPUTED_VALUE"""),"2200, 1254, 1427, 2100, 2820")</f>
        <v>2200, 1254, 1427, 2100, 2820</v>
      </c>
      <c r="Y63" s="14" t="str">
        <f ca="1">IFERROR(__xludf.DUMMYFUNCTION("""COMPUTED_VALUE"""),"ja")</f>
        <v>ja</v>
      </c>
      <c r="Z63" s="14"/>
      <c r="AA63" s="14"/>
      <c r="AB63" s="14" t="str">
        <f ca="1">IFERROR(__xludf.DUMMYFUNCTION("""COMPUTED_VALUE"""),"x")</f>
        <v>x</v>
      </c>
      <c r="AC63" s="14" t="str">
        <f ca="1">IFERROR(__xludf.DUMMYFUNCTION("""COMPUTED_VALUE"""),"x")</f>
        <v>x</v>
      </c>
    </row>
    <row r="64" spans="1:29" ht="12.5" x14ac:dyDescent="0.25">
      <c r="A64" s="14" t="str">
        <f ca="1">IFERROR(__xludf.DUMMYFUNCTION("""COMPUTED_VALUE"""),"Camilla")</f>
        <v>Camilla</v>
      </c>
      <c r="B64" s="14" t="str">
        <f ca="1">IFERROR(__xludf.DUMMYFUNCTION("""COMPUTED_VALUE"""),"Jesper Nielsen, Holdbæk / Odsehered")</f>
        <v>Jesper Nielsen, Holdbæk / Odsehered</v>
      </c>
      <c r="C64" s="14">
        <f ca="1">IFERROR(__xludf.DUMMYFUNCTION("""COMPUTED_VALUE"""),43122312)</f>
        <v>43122312</v>
      </c>
      <c r="D64" s="14" t="str">
        <f ca="1">IFERROR(__xludf.DUMMYFUNCTION("""COMPUTED_VALUE"""),"MG-SJ: 3.499,-")</f>
        <v>MG-SJ: 3.499,-</v>
      </c>
      <c r="E64" s="14">
        <f ca="1">IFERROR(__xludf.DUMMYFUNCTION("""COMPUTED_VALUE"""),1202)</f>
        <v>1202</v>
      </c>
      <c r="F64" s="14" t="str">
        <f ca="1">IFERROR(__xludf.DUMMYFUNCTION("""COMPUTED_VALUE"""),"Lene Høj ")</f>
        <v xml:space="preserve">Lene Høj </v>
      </c>
      <c r="G64" s="14" t="str">
        <f ca="1">IFERROR(__xludf.DUMMYFUNCTION("""COMPUTED_VALUE"""),"LH@JESPERNIELSEN.DK")</f>
        <v>LH@JESPERNIELSEN.DK</v>
      </c>
      <c r="H64" s="14">
        <f ca="1">IFERROR(__xludf.DUMMYFUNCTION("""COMPUTED_VALUE"""),50569600)</f>
        <v>50569600</v>
      </c>
      <c r="I64" s="14"/>
      <c r="J64" s="14"/>
      <c r="K64" s="14"/>
      <c r="L64" s="14"/>
      <c r="M64" s="14"/>
      <c r="N64" s="14"/>
      <c r="O64" s="14">
        <f ca="1">IFERROR(__xludf.DUMMYFUNCTION("""COMPUTED_VALUE"""),88446000)</f>
        <v>88446000</v>
      </c>
      <c r="P64" s="15" t="str">
        <f ca="1">IFERROR(__xludf.DUMMYFUNCTION("""COMPUTED_VALUE"""),"FINDHJEM4300@JESPERNIELSEN.DK")</f>
        <v>FINDHJEM4300@JESPERNIELSEN.DK</v>
      </c>
      <c r="Q64" s="15" t="str">
        <f ca="1">IFERROR(__xludf.DUMMYFUNCTION("""COMPUTED_VALUE"""),"https://www.boliga.dk/maegler/29108")</f>
        <v>https://www.boliga.dk/maegler/29108</v>
      </c>
      <c r="R64" s="14"/>
      <c r="S64" s="14"/>
      <c r="T64" s="14"/>
      <c r="U64" s="14"/>
      <c r="V64" s="14"/>
      <c r="W64" s="14"/>
      <c r="X64" s="14"/>
      <c r="Y64" s="14" t="str">
        <f ca="1">IFERROR(__xludf.DUMMYFUNCTION("""COMPUTED_VALUE"""),"ja")</f>
        <v>ja</v>
      </c>
      <c r="Z64" s="14"/>
      <c r="AA64" s="14"/>
      <c r="AB64" s="14" t="str">
        <f ca="1">IFERROR(__xludf.DUMMYFUNCTION("""COMPUTED_VALUE"""),"x")</f>
        <v>x</v>
      </c>
      <c r="AC64" s="14" t="str">
        <f ca="1">IFERROR(__xludf.DUMMYFUNCTION("""COMPUTED_VALUE"""),"x")</f>
        <v>x</v>
      </c>
    </row>
    <row r="65" spans="1:29" ht="12.5" x14ac:dyDescent="0.25">
      <c r="A65" s="14" t="str">
        <f ca="1">IFERROR(__xludf.DUMMYFUNCTION("""COMPUTED_VALUE"""),"Camilla")</f>
        <v>Camilla</v>
      </c>
      <c r="B65" s="14" t="str">
        <f ca="1">IFERROR(__xludf.DUMMYFUNCTION("""COMPUTED_VALUE"""),"KROHN &amp; DOLLERUP")</f>
        <v>KROHN &amp; DOLLERUP</v>
      </c>
      <c r="C65" s="14">
        <f ca="1">IFERROR(__xludf.DUMMYFUNCTION("""COMPUTED_VALUE"""),36675756)</f>
        <v>36675756</v>
      </c>
      <c r="D65" s="14" t="str">
        <f ca="1">IFERROR(__xludf.DUMMYFUNCTION("""COMPUTED_VALUE"""),"MG-SJ: 3.499,-")</f>
        <v>MG-SJ: 3.499,-</v>
      </c>
      <c r="E65" s="14">
        <f ca="1">IFERROR(__xludf.DUMMYFUNCTION("""COMPUTED_VALUE"""),1202)</f>
        <v>1202</v>
      </c>
      <c r="F65" s="14" t="str">
        <f ca="1">IFERROR(__xludf.DUMMYFUNCTION("""COMPUTED_VALUE"""),"Birgitte Krohn")</f>
        <v>Birgitte Krohn</v>
      </c>
      <c r="G65" s="14" t="str">
        <f ca="1">IFERROR(__xludf.DUMMYFUNCTION("""COMPUTED_VALUE"""),"kontakt@krohn-dollerup.dk")</f>
        <v>kontakt@krohn-dollerup.dk</v>
      </c>
      <c r="H65" s="14">
        <f ca="1">IFERROR(__xludf.DUMMYFUNCTION("""COMPUTED_VALUE"""),24210212)</f>
        <v>24210212</v>
      </c>
      <c r="I65" s="14" t="str">
        <f ca="1">IFERROR(__xludf.DUMMYFUNCTION("""COMPUTED_VALUE"""),"Bøgebjergvej 19A")</f>
        <v>Bøgebjergvej 19A</v>
      </c>
      <c r="J65" s="14">
        <f ca="1">IFERROR(__xludf.DUMMYFUNCTION("""COMPUTED_VALUE"""),3230)</f>
        <v>3230</v>
      </c>
      <c r="K65" s="14" t="str">
        <f ca="1">IFERROR(__xludf.DUMMYFUNCTION("""COMPUTED_VALUE"""),"Græsted")</f>
        <v>Græsted</v>
      </c>
      <c r="L65" s="14" t="str">
        <f ca="1">IFERROR(__xludf.DUMMYFUNCTION("""COMPUTED_VALUE"""),"Gribskov")</f>
        <v>Gribskov</v>
      </c>
      <c r="M65" s="14" t="str">
        <f ca="1">IFERROR(__xludf.DUMMYFUNCTION("""COMPUTED_VALUE"""),"Nordsjælland")</f>
        <v>Nordsjælland</v>
      </c>
      <c r="N65" s="14" t="str">
        <f ca="1">IFERROR(__xludf.DUMMYFUNCTION("""COMPUTED_VALUE"""),"Hovedstaden")</f>
        <v>Hovedstaden</v>
      </c>
      <c r="O65" s="14">
        <f ca="1">IFERROR(__xludf.DUMMYFUNCTION("""COMPUTED_VALUE"""),48393939)</f>
        <v>48393939</v>
      </c>
      <c r="P65" s="14" t="str">
        <f ca="1">IFERROR(__xludf.DUMMYFUNCTION("""COMPUTED_VALUE"""),"kontakt@krohn-dollerup.dk")</f>
        <v>kontakt@krohn-dollerup.dk</v>
      </c>
      <c r="Q65" s="15" t="str">
        <f ca="1">IFERROR(__xludf.DUMMYFUNCTION("""COMPUTED_VALUE"""),"https://www.boliga.dk/maegler/22083")</f>
        <v>https://www.boliga.dk/maegler/22083</v>
      </c>
      <c r="R65" s="14" t="str">
        <f ca="1">IFERROR(__xludf.DUMMYFUNCTION("""COMPUTED_VALUE"""),"-")</f>
        <v>-</v>
      </c>
      <c r="S65" s="14" t="str">
        <f ca="1">IFERROR(__xludf.DUMMYFUNCTION("""COMPUTED_VALUE"""),"-")</f>
        <v>-</v>
      </c>
      <c r="T65" s="14" t="str">
        <f ca="1">IFERROR(__xludf.DUMMYFUNCTION("""COMPUTED_VALUE"""),"-")</f>
        <v>-</v>
      </c>
      <c r="U65" s="14">
        <f ca="1">IFERROR(__xludf.DUMMYFUNCTION("""COMPUTED_VALUE"""),3)</f>
        <v>3</v>
      </c>
      <c r="V65" s="14" t="str">
        <f ca="1">IFERROR(__xludf.DUMMYFUNCTION("""COMPUTED_VALUE"""),"3230, 3250, 3120")</f>
        <v>3230, 3250, 3120</v>
      </c>
      <c r="W65" s="14">
        <f ca="1">IFERROR(__xludf.DUMMYFUNCTION("""COMPUTED_VALUE"""),5)</f>
        <v>5</v>
      </c>
      <c r="X65" s="14" t="str">
        <f ca="1">IFERROR(__xludf.DUMMYFUNCTION("""COMPUTED_VALUE"""),"3200, 3230")</f>
        <v>3200, 3230</v>
      </c>
      <c r="Y65" s="14" t="str">
        <f ca="1">IFERROR(__xludf.DUMMYFUNCTION("""COMPUTED_VALUE"""),"ja")</f>
        <v>ja</v>
      </c>
      <c r="Z65" s="14"/>
      <c r="AA65" s="14"/>
      <c r="AB65" s="14" t="str">
        <f ca="1">IFERROR(__xludf.DUMMYFUNCTION("""COMPUTED_VALUE"""),"x")</f>
        <v>x</v>
      </c>
      <c r="AC65" s="14" t="str">
        <f ca="1">IFERROR(__xludf.DUMMYFUNCTION("""COMPUTED_VALUE"""),"x")</f>
        <v>x</v>
      </c>
    </row>
    <row r="66" spans="1:29" ht="12.5" x14ac:dyDescent="0.25">
      <c r="A66" s="14" t="str">
        <f ca="1">IFERROR(__xludf.DUMMYFUNCTION("""COMPUTED_VALUE"""),"Camilla")</f>
        <v>Camilla</v>
      </c>
      <c r="B66" s="14" t="str">
        <f ca="1">IFERROR(__xludf.DUMMYFUNCTION("""COMPUTED_VALUE"""),"KUNLEJLIGHEDER")</f>
        <v>KUNLEJLIGHEDER</v>
      </c>
      <c r="C66" s="14">
        <f ca="1">IFERROR(__xludf.DUMMYFUNCTION("""COMPUTED_VALUE"""),37057169)</f>
        <v>37057169</v>
      </c>
      <c r="D66" s="14" t="str">
        <f ca="1">IFERROR(__xludf.DUMMYFUNCTION("""COMPUTED_VALUE"""),"MG-SJ: 3.499,-")</f>
        <v>MG-SJ: 3.499,-</v>
      </c>
      <c r="E66" s="14">
        <f ca="1">IFERROR(__xludf.DUMMYFUNCTION("""COMPUTED_VALUE"""),1202)</f>
        <v>1202</v>
      </c>
      <c r="F66" s="14" t="str">
        <f ca="1">IFERROR(__xludf.DUMMYFUNCTION("""COMPUTED_VALUE"""),"Marianne Hansen")</f>
        <v>Marianne Hansen</v>
      </c>
      <c r="G66" s="14" t="str">
        <f ca="1">IFERROR(__xludf.DUMMYFUNCTION("""COMPUTED_VALUE"""),"marianne@kunlejligheder.dk")</f>
        <v>marianne@kunlejligheder.dk</v>
      </c>
      <c r="H66" s="14">
        <f ca="1">IFERROR(__xludf.DUMMYFUNCTION("""COMPUTED_VALUE"""),25979797)</f>
        <v>25979797</v>
      </c>
      <c r="I66" s="14" t="str">
        <f ca="1">IFERROR(__xludf.DUMMYFUNCTION("""COMPUTED_VALUE"""),"Ordrupvej 100")</f>
        <v>Ordrupvej 100</v>
      </c>
      <c r="J66" s="14">
        <f ca="1">IFERROR(__xludf.DUMMYFUNCTION("""COMPUTED_VALUE"""),2920)</f>
        <v>2920</v>
      </c>
      <c r="K66" s="14" t="str">
        <f ca="1">IFERROR(__xludf.DUMMYFUNCTION("""COMPUTED_VALUE"""),"Charlottenlund")</f>
        <v>Charlottenlund</v>
      </c>
      <c r="L66" s="14" t="str">
        <f ca="1">IFERROR(__xludf.DUMMYFUNCTION("""COMPUTED_VALUE"""),"Gentofte")</f>
        <v>Gentofte</v>
      </c>
      <c r="M66" s="14" t="str">
        <f ca="1">IFERROR(__xludf.DUMMYFUNCTION("""COMPUTED_VALUE"""),"Københavns omegn")</f>
        <v>Københavns omegn</v>
      </c>
      <c r="N66" s="14" t="str">
        <f ca="1">IFERROR(__xludf.DUMMYFUNCTION("""COMPUTED_VALUE"""),"Hovedstaden")</f>
        <v>Hovedstaden</v>
      </c>
      <c r="O66" s="14">
        <f ca="1">IFERROR(__xludf.DUMMYFUNCTION("""COMPUTED_VALUE"""),39303019)</f>
        <v>39303019</v>
      </c>
      <c r="P66" s="14" t="str">
        <f ca="1">IFERROR(__xludf.DUMMYFUNCTION("""COMPUTED_VALUE"""),"kontakt@kunlejligheder.dk")</f>
        <v>kontakt@kunlejligheder.dk</v>
      </c>
      <c r="Q66" s="15" t="str">
        <f ca="1">IFERROR(__xludf.DUMMYFUNCTION("""COMPUTED_VALUE"""),"https://www.boliga.dk/maegler/25877")</f>
        <v>https://www.boliga.dk/maegler/25877</v>
      </c>
      <c r="R66" s="14" t="str">
        <f ca="1">IFERROR(__xludf.DUMMYFUNCTION("""COMPUTED_VALUE"""),"-")</f>
        <v>-</v>
      </c>
      <c r="S66" s="14" t="str">
        <f ca="1">IFERROR(__xludf.DUMMYFUNCTION("""COMPUTED_VALUE"""),"-")</f>
        <v>-</v>
      </c>
      <c r="T66" s="14" t="str">
        <f ca="1">IFERROR(__xludf.DUMMYFUNCTION("""COMPUTED_VALUE"""),"-")</f>
        <v>-</v>
      </c>
      <c r="U66" s="14">
        <f ca="1">IFERROR(__xludf.DUMMYFUNCTION("""COMPUTED_VALUE"""),12)</f>
        <v>12</v>
      </c>
      <c r="V66" s="14" t="str">
        <f ca="1">IFERROR(__xludf.DUMMYFUNCTION("""COMPUTED_VALUE"""),"2920, 2850, 2820, 2900")</f>
        <v>2920, 2850, 2820, 2900</v>
      </c>
      <c r="W66" s="14">
        <f ca="1">IFERROR(__xludf.DUMMYFUNCTION("""COMPUTED_VALUE"""),18)</f>
        <v>18</v>
      </c>
      <c r="X66" s="14" t="str">
        <f ca="1">IFERROR(__xludf.DUMMYFUNCTION("""COMPUTED_VALUE"""),"2920, 2800, 2942, 2900, 2830")</f>
        <v>2920, 2800, 2942, 2900, 2830</v>
      </c>
      <c r="Y66" s="14" t="str">
        <f ca="1">IFERROR(__xludf.DUMMYFUNCTION("""COMPUTED_VALUE"""),"ja")</f>
        <v>ja</v>
      </c>
      <c r="Z66" s="14"/>
      <c r="AA66" s="14"/>
      <c r="AB66" s="14" t="str">
        <f ca="1">IFERROR(__xludf.DUMMYFUNCTION("""COMPUTED_VALUE"""),"x")</f>
        <v>x</v>
      </c>
      <c r="AC66" s="14" t="str">
        <f ca="1">IFERROR(__xludf.DUMMYFUNCTION("""COMPUTED_VALUE"""),"x")</f>
        <v>x</v>
      </c>
    </row>
    <row r="67" spans="1:29" ht="12.5" x14ac:dyDescent="0.25">
      <c r="A67" s="14" t="str">
        <f ca="1">IFERROR(__xludf.DUMMYFUNCTION("""COMPUTED_VALUE"""),"Camilla")</f>
        <v>Camilla</v>
      </c>
      <c r="B67" s="14" t="str">
        <f ca="1">IFERROR(__xludf.DUMMYFUNCTION("""COMPUTED_VALUE"""),"Kvadrat Bolig &amp; Erhverv")</f>
        <v>Kvadrat Bolig &amp; Erhverv</v>
      </c>
      <c r="C67" s="14"/>
      <c r="D67" s="14"/>
      <c r="E67" s="14" t="str">
        <f ca="1">IFERROR(__xludf.DUMMYFUNCTION("""COMPUTED_VALUE"""),"N/A")</f>
        <v>N/A</v>
      </c>
      <c r="F67" s="14" t="str">
        <f ca="1">IFERROR(__xludf.DUMMYFUNCTION("""COMPUTED_VALUE"""),"Kim Bach")</f>
        <v>Kim Bach</v>
      </c>
      <c r="G67" s="14" t="str">
        <f ca="1">IFERROR(__xludf.DUMMYFUNCTION("""COMPUTED_VALUE"""),"kb@kvadratbolig.dk")</f>
        <v>kb@kvadratbolig.dk</v>
      </c>
      <c r="H67" s="14">
        <f ca="1">IFERROR(__xludf.DUMMYFUNCTION("""COMPUTED_VALUE"""),31734303)</f>
        <v>31734303</v>
      </c>
      <c r="I67" s="14" t="str">
        <f ca="1">IFERROR(__xludf.DUMMYFUNCTION("""COMPUTED_VALUE"""),"Classensgade 50C")</f>
        <v>Classensgade 50C</v>
      </c>
      <c r="J67" s="14">
        <f ca="1">IFERROR(__xludf.DUMMYFUNCTION("""COMPUTED_VALUE"""),2100)</f>
        <v>2100</v>
      </c>
      <c r="K67" s="14" t="str">
        <f ca="1">IFERROR(__xludf.DUMMYFUNCTION("""COMPUTED_VALUE"""),"København Ø")</f>
        <v>København Ø</v>
      </c>
      <c r="L67" s="14" t="str">
        <f ca="1">IFERROR(__xludf.DUMMYFUNCTION("""COMPUTED_VALUE"""),"København")</f>
        <v>København</v>
      </c>
      <c r="M67" s="14" t="str">
        <f ca="1">IFERROR(__xludf.DUMMYFUNCTION("""COMPUTED_VALUE"""),"København By")</f>
        <v>København By</v>
      </c>
      <c r="N67" s="14" t="str">
        <f ca="1">IFERROR(__xludf.DUMMYFUNCTION("""COMPUTED_VALUE"""),"Hovedstaden")</f>
        <v>Hovedstaden</v>
      </c>
      <c r="O67" s="14">
        <f ca="1">IFERROR(__xludf.DUMMYFUNCTION("""COMPUTED_VALUE"""),33114020)</f>
        <v>33114020</v>
      </c>
      <c r="P67" s="14" t="str">
        <f ca="1">IFERROR(__xludf.DUMMYFUNCTION("""COMPUTED_VALUE"""),"mail@kvadratbolig.dk")</f>
        <v>mail@kvadratbolig.dk</v>
      </c>
      <c r="Q67" s="15" t="str">
        <f ca="1">IFERROR(__xludf.DUMMYFUNCTION("""COMPUTED_VALUE"""),"https://www.boliga.dk/maegler/23833")</f>
        <v>https://www.boliga.dk/maegler/23833</v>
      </c>
      <c r="R67" s="14" t="str">
        <f ca="1">IFERROR(__xludf.DUMMYFUNCTION("""COMPUTED_VALUE"""),"-")</f>
        <v>-</v>
      </c>
      <c r="S67" s="14" t="str">
        <f ca="1">IFERROR(__xludf.DUMMYFUNCTION("""COMPUTED_VALUE"""),"-")</f>
        <v>-</v>
      </c>
      <c r="T67" s="14" t="str">
        <f ca="1">IFERROR(__xludf.DUMMYFUNCTION("""COMPUTED_VALUE"""),"-")</f>
        <v>-</v>
      </c>
      <c r="U67" s="14">
        <f ca="1">IFERROR(__xludf.DUMMYFUNCTION("""COMPUTED_VALUE"""),2)</f>
        <v>2</v>
      </c>
      <c r="V67" s="14" t="str">
        <f ca="1">IFERROR(__xludf.DUMMYFUNCTION("""COMPUTED_VALUE"""),"4850, 7260")</f>
        <v>4850, 7260</v>
      </c>
      <c r="W67" s="14">
        <f ca="1">IFERROR(__xludf.DUMMYFUNCTION("""COMPUTED_VALUE"""),2)</f>
        <v>2</v>
      </c>
      <c r="X67" s="14" t="str">
        <f ca="1">IFERROR(__xludf.DUMMYFUNCTION("""COMPUTED_VALUE"""),"1113, 3210")</f>
        <v>1113, 3210</v>
      </c>
      <c r="Y67" s="14" t="str">
        <f ca="1">IFERROR(__xludf.DUMMYFUNCTION("""COMPUTED_VALUE"""),"ja")</f>
        <v>ja</v>
      </c>
      <c r="Z67" s="14"/>
      <c r="AA67" s="14"/>
      <c r="AB67" s="14" t="str">
        <f ca="1">IFERROR(__xludf.DUMMYFUNCTION("""COMPUTED_VALUE"""),"x")</f>
        <v>x</v>
      </c>
      <c r="AC67" s="14"/>
    </row>
    <row r="68" spans="1:29" ht="12.5" x14ac:dyDescent="0.25">
      <c r="A68" s="14" t="str">
        <f ca="1">IFERROR(__xludf.DUMMYFUNCTION("""COMPUTED_VALUE"""),"Camilla")</f>
        <v>Camilla</v>
      </c>
      <c r="B68" s="14" t="str">
        <f ca="1">IFERROR(__xludf.DUMMYFUNCTION("""COMPUTED_VALUE"""),"KAAS &amp; MARKSØ")</f>
        <v>KAAS &amp; MARKSØ</v>
      </c>
      <c r="C68" s="14">
        <f ca="1">IFERROR(__xludf.DUMMYFUNCTION("""COMPUTED_VALUE"""),28158386)</f>
        <v>28158386</v>
      </c>
      <c r="D68" s="14" t="str">
        <f ca="1">IFERROR(__xludf.DUMMYFUNCTION("""COMPUTED_VALUE"""),"MG-SJ: 3.499,-")</f>
        <v>MG-SJ: 3.499,-</v>
      </c>
      <c r="E68" s="14">
        <f ca="1">IFERROR(__xludf.DUMMYFUNCTION("""COMPUTED_VALUE"""),1202)</f>
        <v>1202</v>
      </c>
      <c r="F68" s="14" t="str">
        <f ca="1">IFERROR(__xludf.DUMMYFUNCTION("""COMPUTED_VALUE"""),"Lars Kaas ")</f>
        <v xml:space="preserve">Lars Kaas </v>
      </c>
      <c r="G68" s="14" t="str">
        <f ca="1">IFERROR(__xludf.DUMMYFUNCTION("""COMPUTED_VALUE"""),"kaas@k-m.dk")</f>
        <v>kaas@k-m.dk</v>
      </c>
      <c r="H68" s="14">
        <f ca="1">IFERROR(__xludf.DUMMYFUNCTION("""COMPUTED_VALUE"""),20165956)</f>
        <v>20165956</v>
      </c>
      <c r="I68" s="14" t="str">
        <f ca="1">IFERROR(__xludf.DUMMYFUNCTION("""COMPUTED_VALUE"""),"Strandvejen 126")</f>
        <v>Strandvejen 126</v>
      </c>
      <c r="J68" s="14">
        <f ca="1">IFERROR(__xludf.DUMMYFUNCTION("""COMPUTED_VALUE"""),2900)</f>
        <v>2900</v>
      </c>
      <c r="K68" s="14" t="str">
        <f ca="1">IFERROR(__xludf.DUMMYFUNCTION("""COMPUTED_VALUE"""),"Hellerup")</f>
        <v>Hellerup</v>
      </c>
      <c r="L68" s="14" t="str">
        <f ca="1">IFERROR(__xludf.DUMMYFUNCTION("""COMPUTED_VALUE"""),"Gentofte")</f>
        <v>Gentofte</v>
      </c>
      <c r="M68" s="14" t="str">
        <f ca="1">IFERROR(__xludf.DUMMYFUNCTION("""COMPUTED_VALUE"""),"Københavns omegn")</f>
        <v>Københavns omegn</v>
      </c>
      <c r="N68" s="14" t="str">
        <f ca="1">IFERROR(__xludf.DUMMYFUNCTION("""COMPUTED_VALUE"""),"Hovedstaden")</f>
        <v>Hovedstaden</v>
      </c>
      <c r="O68" s="14">
        <f ca="1">IFERROR(__xludf.DUMMYFUNCTION("""COMPUTED_VALUE"""),45790005)</f>
        <v>45790005</v>
      </c>
      <c r="P68" s="14" t="str">
        <f ca="1">IFERROR(__xludf.DUMMYFUNCTION("""COMPUTED_VALUE"""),"post@k-m.dk")</f>
        <v>post@k-m.dk</v>
      </c>
      <c r="Q68" s="15" t="str">
        <f ca="1">IFERROR(__xludf.DUMMYFUNCTION("""COMPUTED_VALUE"""),"https://www.boliga.dk/maegler/26509")</f>
        <v>https://www.boliga.dk/maegler/26509</v>
      </c>
      <c r="R68" s="14" t="str">
        <f ca="1">IFERROR(__xludf.DUMMYFUNCTION("""COMPUTED_VALUE"""),"-")</f>
        <v>-</v>
      </c>
      <c r="S68" s="14" t="str">
        <f ca="1">IFERROR(__xludf.DUMMYFUNCTION("""COMPUTED_VALUE"""),"-")</f>
        <v>-</v>
      </c>
      <c r="T68" s="14" t="str">
        <f ca="1">IFERROR(__xludf.DUMMYFUNCTION("""COMPUTED_VALUE"""),"-")</f>
        <v>-</v>
      </c>
      <c r="U68" s="14">
        <f ca="1">IFERROR(__xludf.DUMMYFUNCTION("""COMPUTED_VALUE"""),6)</f>
        <v>6</v>
      </c>
      <c r="V68" s="14" t="str">
        <f ca="1">IFERROR(__xludf.DUMMYFUNCTION("""COMPUTED_VALUE"""),"2100, 1362, 2300, 2150")</f>
        <v>2100, 1362, 2300, 2150</v>
      </c>
      <c r="W68" s="14">
        <f ca="1">IFERROR(__xludf.DUMMYFUNCTION("""COMPUTED_VALUE"""),18)</f>
        <v>18</v>
      </c>
      <c r="X68" s="14" t="str">
        <f ca="1">IFERROR(__xludf.DUMMYFUNCTION("""COMPUTED_VALUE"""),"2100, 1171")</f>
        <v>2100, 1171</v>
      </c>
      <c r="Y68" s="14" t="str">
        <f ca="1">IFERROR(__xludf.DUMMYFUNCTION("""COMPUTED_VALUE"""),"ja")</f>
        <v>ja</v>
      </c>
      <c r="Z68" s="14"/>
      <c r="AA68" s="14"/>
      <c r="AB68" s="14" t="str">
        <f ca="1">IFERROR(__xludf.DUMMYFUNCTION("""COMPUTED_VALUE"""),"x")</f>
        <v>x</v>
      </c>
      <c r="AC68" s="14" t="str">
        <f ca="1">IFERROR(__xludf.DUMMYFUNCTION("""COMPUTED_VALUE"""),"x")</f>
        <v>x</v>
      </c>
    </row>
    <row r="69" spans="1:29" ht="12.5" x14ac:dyDescent="0.25">
      <c r="A69" s="14" t="str">
        <f ca="1">IFERROR(__xludf.DUMMYFUNCTION("""COMPUTED_VALUE"""),"Camilla")</f>
        <v>Camilla</v>
      </c>
      <c r="B69" s="15" t="str">
        <f ca="1">IFERROR(__xludf.DUMMYFUNCTION("""COMPUTED_VALUE"""),"letboligsalg.dk")</f>
        <v>letboligsalg.dk</v>
      </c>
      <c r="C69" s="14">
        <f ca="1">IFERROR(__xludf.DUMMYFUNCTION("""COMPUTED_VALUE"""),39224666)</f>
        <v>39224666</v>
      </c>
      <c r="D69" s="14" t="str">
        <f ca="1">IFERROR(__xludf.DUMMYFUNCTION("""COMPUTED_VALUE"""),"MG-SJ: 3.499,-")</f>
        <v>MG-SJ: 3.499,-</v>
      </c>
      <c r="E69" s="14">
        <f ca="1">IFERROR(__xludf.DUMMYFUNCTION("""COMPUTED_VALUE"""),1202)</f>
        <v>1202</v>
      </c>
      <c r="F69" s="14" t="str">
        <f ca="1">IFERROR(__xludf.DUMMYFUNCTION("""COMPUTED_VALUE"""),"Morten Holm")</f>
        <v>Morten Holm</v>
      </c>
      <c r="G69" s="14" t="str">
        <f ca="1">IFERROR(__xludf.DUMMYFUNCTION("""COMPUTED_VALUE"""),"morten@letboligsalg.dk")</f>
        <v>morten@letboligsalg.dk</v>
      </c>
      <c r="H69" s="14">
        <f ca="1">IFERROR(__xludf.DUMMYFUNCTION("""COMPUTED_VALUE"""),27380304)</f>
        <v>27380304</v>
      </c>
      <c r="I69" s="14" t="str">
        <f ca="1">IFERROR(__xludf.DUMMYFUNCTION("""COMPUTED_VALUE"""),"Bredgade 3")</f>
        <v>Bredgade 3</v>
      </c>
      <c r="J69" s="14">
        <f ca="1">IFERROR(__xludf.DUMMYFUNCTION("""COMPUTED_VALUE"""),1260)</f>
        <v>1260</v>
      </c>
      <c r="K69" s="14" t="str">
        <f ca="1">IFERROR(__xludf.DUMMYFUNCTION("""COMPUTED_VALUE"""),"København K")</f>
        <v>København K</v>
      </c>
      <c r="L69" s="14" t="str">
        <f ca="1">IFERROR(__xludf.DUMMYFUNCTION("""COMPUTED_VALUE"""),"København")</f>
        <v>København</v>
      </c>
      <c r="M69" s="14" t="str">
        <f ca="1">IFERROR(__xludf.DUMMYFUNCTION("""COMPUTED_VALUE"""),"København By")</f>
        <v>København By</v>
      </c>
      <c r="N69" s="14" t="str">
        <f ca="1">IFERROR(__xludf.DUMMYFUNCTION("""COMPUTED_VALUE"""),"Hovedstaden")</f>
        <v>Hovedstaden</v>
      </c>
      <c r="O69" s="14">
        <f ca="1">IFERROR(__xludf.DUMMYFUNCTION("""COMPUTED_VALUE"""),27380304)</f>
        <v>27380304</v>
      </c>
      <c r="P69" s="14" t="str">
        <f ca="1">IFERROR(__xludf.DUMMYFUNCTION("""COMPUTED_VALUE"""),"info@letboligsalg.dk")</f>
        <v>info@letboligsalg.dk</v>
      </c>
      <c r="Q69" s="15" t="str">
        <f ca="1">IFERROR(__xludf.DUMMYFUNCTION("""COMPUTED_VALUE"""),"https://www.boliga.dk/maegler/24567")</f>
        <v>https://www.boliga.dk/maegler/24567</v>
      </c>
      <c r="R69" s="14" t="str">
        <f ca="1">IFERROR(__xludf.DUMMYFUNCTION("""COMPUTED_VALUE"""),"-")</f>
        <v>-</v>
      </c>
      <c r="S69" s="14" t="str">
        <f ca="1">IFERROR(__xludf.DUMMYFUNCTION("""COMPUTED_VALUE"""),"-")</f>
        <v>-</v>
      </c>
      <c r="T69" s="14" t="str">
        <f ca="1">IFERROR(__xludf.DUMMYFUNCTION("""COMPUTED_VALUE"""),"-")</f>
        <v>-</v>
      </c>
      <c r="U69" s="14">
        <f ca="1">IFERROR(__xludf.DUMMYFUNCTION("""COMPUTED_VALUE"""),6)</f>
        <v>6</v>
      </c>
      <c r="V69" s="14" t="str">
        <f ca="1">IFERROR(__xludf.DUMMYFUNCTION("""COMPUTED_VALUE"""),"4300, 2630, 4040, 4000, 3120")</f>
        <v>4300, 2630, 4040, 4000, 3120</v>
      </c>
      <c r="W69" s="14">
        <f ca="1">IFERROR(__xludf.DUMMYFUNCTION("""COMPUTED_VALUE"""),4)</f>
        <v>4</v>
      </c>
      <c r="X69" s="14" t="str">
        <f ca="1">IFERROR(__xludf.DUMMYFUNCTION("""COMPUTED_VALUE"""),"2630, 4000")</f>
        <v>2630, 4000</v>
      </c>
      <c r="Y69" s="14" t="str">
        <f ca="1">IFERROR(__xludf.DUMMYFUNCTION("""COMPUTED_VALUE"""),"ja")</f>
        <v>ja</v>
      </c>
      <c r="Z69" s="14"/>
      <c r="AA69" s="14"/>
      <c r="AB69" s="14" t="str">
        <f ca="1">IFERROR(__xludf.DUMMYFUNCTION("""COMPUTED_VALUE"""),"x")</f>
        <v>x</v>
      </c>
      <c r="AC69" s="14" t="str">
        <f ca="1">IFERROR(__xludf.DUMMYFUNCTION("""COMPUTED_VALUE"""),"x")</f>
        <v>x</v>
      </c>
    </row>
    <row r="70" spans="1:29" ht="12.5" x14ac:dyDescent="0.25">
      <c r="A70" s="14" t="str">
        <f ca="1">IFERROR(__xludf.DUMMYFUNCTION("""COMPUTED_VALUE"""),"Camilla")</f>
        <v>Camilla</v>
      </c>
      <c r="B70" s="14" t="str">
        <f ca="1">IFERROR(__xludf.DUMMYFUNCTION("""COMPUTED_VALUE"""),"Lokal Mægleren Tommy Knudsen")</f>
        <v>Lokal Mægleren Tommy Knudsen</v>
      </c>
      <c r="C70" s="14">
        <f ca="1">IFERROR(__xludf.DUMMYFUNCTION("""COMPUTED_VALUE"""),30232755)</f>
        <v>30232755</v>
      </c>
      <c r="D70" s="14" t="str">
        <f ca="1">IFERROR(__xludf.DUMMYFUNCTION("""COMPUTED_VALUE"""),"MG-SJ: 3.499,-")</f>
        <v>MG-SJ: 3.499,-</v>
      </c>
      <c r="E70" s="14">
        <f ca="1">IFERROR(__xludf.DUMMYFUNCTION("""COMPUTED_VALUE"""),1202)</f>
        <v>1202</v>
      </c>
      <c r="F70" s="14" t="str">
        <f ca="1">IFERROR(__xludf.DUMMYFUNCTION("""COMPUTED_VALUE"""),"Tommy Knudsen")</f>
        <v>Tommy Knudsen</v>
      </c>
      <c r="G70" s="14" t="str">
        <f ca="1">IFERROR(__xludf.DUMMYFUNCTION("""COMPUTED_VALUE"""),"tk@lm-bolig.dk")</f>
        <v>tk@lm-bolig.dk</v>
      </c>
      <c r="H70" s="14">
        <f ca="1">IFERROR(__xludf.DUMMYFUNCTION("""COMPUTED_VALUE"""),50988686)</f>
        <v>50988686</v>
      </c>
      <c r="I70" s="14" t="str">
        <f ca="1">IFERROR(__xludf.DUMMYFUNCTION("""COMPUTED_VALUE"""),"Bagsværd Hovedgade 81")</f>
        <v>Bagsværd Hovedgade 81</v>
      </c>
      <c r="J70" s="14">
        <f ca="1">IFERROR(__xludf.DUMMYFUNCTION("""COMPUTED_VALUE"""),2880)</f>
        <v>2880</v>
      </c>
      <c r="K70" s="14" t="str">
        <f ca="1">IFERROR(__xludf.DUMMYFUNCTION("""COMPUTED_VALUE"""),"Bagsværd")</f>
        <v>Bagsværd</v>
      </c>
      <c r="L70" s="14" t="str">
        <f ca="1">IFERROR(__xludf.DUMMYFUNCTION("""COMPUTED_VALUE"""),"Gladsaxe")</f>
        <v>Gladsaxe</v>
      </c>
      <c r="M70" s="14" t="str">
        <f ca="1">IFERROR(__xludf.DUMMYFUNCTION("""COMPUTED_VALUE"""),"Københavns omegn")</f>
        <v>Københavns omegn</v>
      </c>
      <c r="N70" s="14" t="str">
        <f ca="1">IFERROR(__xludf.DUMMYFUNCTION("""COMPUTED_VALUE"""),"Hovedstaden")</f>
        <v>Hovedstaden</v>
      </c>
      <c r="O70" s="14">
        <f ca="1">IFERROR(__xludf.DUMMYFUNCTION("""COMPUTED_VALUE"""),44989898)</f>
        <v>44989898</v>
      </c>
      <c r="P70" s="14" t="str">
        <f ca="1">IFERROR(__xludf.DUMMYFUNCTION("""COMPUTED_VALUE"""),"al@lm-bolig.dk")</f>
        <v>al@lm-bolig.dk</v>
      </c>
      <c r="Q70" s="15" t="str">
        <f ca="1">IFERROR(__xludf.DUMMYFUNCTION("""COMPUTED_VALUE"""),"https://www.boliga.dk/maegler/18520")</f>
        <v>https://www.boliga.dk/maegler/18520</v>
      </c>
      <c r="R70" s="14" t="str">
        <f ca="1">IFERROR(__xludf.DUMMYFUNCTION("""COMPUTED_VALUE"""),"-")</f>
        <v>-</v>
      </c>
      <c r="S70" s="14" t="str">
        <f ca="1">IFERROR(__xludf.DUMMYFUNCTION("""COMPUTED_VALUE"""),"-")</f>
        <v>-</v>
      </c>
      <c r="T70" s="14" t="str">
        <f ca="1">IFERROR(__xludf.DUMMYFUNCTION("""COMPUTED_VALUE"""),"-")</f>
        <v>-</v>
      </c>
      <c r="U70" s="14">
        <f ca="1">IFERROR(__xludf.DUMMYFUNCTION("""COMPUTED_VALUE"""),8)</f>
        <v>8</v>
      </c>
      <c r="V70" s="14" t="str">
        <f ca="1">IFERROR(__xludf.DUMMYFUNCTION("""COMPUTED_VALUE"""),"2830, 2800, 2300, 2880, 2860")</f>
        <v>2830, 2800, 2300, 2880, 2860</v>
      </c>
      <c r="W70" s="14">
        <f ca="1">IFERROR(__xludf.DUMMYFUNCTION("""COMPUTED_VALUE"""),12)</f>
        <v>12</v>
      </c>
      <c r="X70" s="14" t="str">
        <f ca="1">IFERROR(__xludf.DUMMYFUNCTION("""COMPUTED_VALUE"""),"2800, 2860, 2880")</f>
        <v>2800, 2860, 2880</v>
      </c>
      <c r="Y70" s="14" t="str">
        <f ca="1">IFERROR(__xludf.DUMMYFUNCTION("""COMPUTED_VALUE"""),"ja")</f>
        <v>ja</v>
      </c>
      <c r="Z70" s="14"/>
      <c r="AA70" s="14"/>
      <c r="AB70" s="14" t="str">
        <f ca="1">IFERROR(__xludf.DUMMYFUNCTION("""COMPUTED_VALUE"""),"x")</f>
        <v>x</v>
      </c>
      <c r="AC70" s="14" t="str">
        <f ca="1">IFERROR(__xludf.DUMMYFUNCTION("""COMPUTED_VALUE"""),"x")</f>
        <v>x</v>
      </c>
    </row>
    <row r="71" spans="1:29" ht="12.5" x14ac:dyDescent="0.25">
      <c r="A71" s="14" t="str">
        <f ca="1">IFERROR(__xludf.DUMMYFUNCTION("""COMPUTED_VALUE"""),"Camilla")</f>
        <v>Camilla</v>
      </c>
      <c r="B71" s="14" t="str">
        <f ca="1">IFERROR(__xludf.DUMMYFUNCTION("""COMPUTED_VALUE"""),"Lützau")</f>
        <v>Lützau</v>
      </c>
      <c r="C71" s="14">
        <f ca="1">IFERROR(__xludf.DUMMYFUNCTION("""COMPUTED_VALUE"""),32966799)</f>
        <v>32966799</v>
      </c>
      <c r="D71" s="14" t="str">
        <f ca="1">IFERROR(__xludf.DUMMYFUNCTION("""COMPUTED_VALUE"""),"MG-SJ: 3.499,-")</f>
        <v>MG-SJ: 3.499,-</v>
      </c>
      <c r="E71" s="14">
        <f ca="1">IFERROR(__xludf.DUMMYFUNCTION("""COMPUTED_VALUE"""),1202)</f>
        <v>1202</v>
      </c>
      <c r="F71" s="14" t="str">
        <f ca="1">IFERROR(__xludf.DUMMYFUNCTION("""COMPUTED_VALUE"""),"Kristian Lützau")</f>
        <v>Kristian Lützau</v>
      </c>
      <c r="G71" s="15" t="str">
        <f ca="1">IFERROR(__xludf.DUMMYFUNCTION("""COMPUTED_VALUE"""),"KRISTIAN@LUTZAU.DK")</f>
        <v>KRISTIAN@LUTZAU.DK</v>
      </c>
      <c r="H71" s="14">
        <f ca="1">IFERROR(__xludf.DUMMYFUNCTION("""COMPUTED_VALUE"""),60146335)</f>
        <v>60146335</v>
      </c>
      <c r="I71" s="14" t="str">
        <f ca="1">IFERROR(__xludf.DUMMYFUNCTION("""COMPUTED_VALUE"""),"Strandvejen 347")</f>
        <v>Strandvejen 347</v>
      </c>
      <c r="J71" s="14">
        <f ca="1">IFERROR(__xludf.DUMMYFUNCTION("""COMPUTED_VALUE"""),2930)</f>
        <v>2930</v>
      </c>
      <c r="K71" s="14" t="str">
        <f ca="1">IFERROR(__xludf.DUMMYFUNCTION("""COMPUTED_VALUE"""),"Klampenborg")</f>
        <v>Klampenborg</v>
      </c>
      <c r="L71" s="14" t="str">
        <f ca="1">IFERROR(__xludf.DUMMYFUNCTION("""COMPUTED_VALUE"""),"Gentofte")</f>
        <v>Gentofte</v>
      </c>
      <c r="M71" s="14" t="str">
        <f ca="1">IFERROR(__xludf.DUMMYFUNCTION("""COMPUTED_VALUE"""),"Københavns omegn")</f>
        <v>Københavns omegn</v>
      </c>
      <c r="N71" s="14" t="str">
        <f ca="1">IFERROR(__xludf.DUMMYFUNCTION("""COMPUTED_VALUE"""),"Hovedstaden")</f>
        <v>Hovedstaden</v>
      </c>
      <c r="O71" s="14">
        <f ca="1">IFERROR(__xludf.DUMMYFUNCTION("""COMPUTED_VALUE"""),39636335)</f>
        <v>39636335</v>
      </c>
      <c r="P71" s="14" t="str">
        <f ca="1">IFERROR(__xludf.DUMMYFUNCTION("""COMPUTED_VALUE"""),"kontakt@lutzau.dk")</f>
        <v>kontakt@lutzau.dk</v>
      </c>
      <c r="Q71" s="15" t="str">
        <f ca="1">IFERROR(__xludf.DUMMYFUNCTION("""COMPUTED_VALUE"""),"https://www.boliga.dk/maegler/17998")</f>
        <v>https://www.boliga.dk/maegler/17998</v>
      </c>
      <c r="R71" s="14" t="str">
        <f ca="1">IFERROR(__xludf.DUMMYFUNCTION("""COMPUTED_VALUE"""),"-")</f>
        <v>-</v>
      </c>
      <c r="S71" s="14" t="str">
        <f ca="1">IFERROR(__xludf.DUMMYFUNCTION("""COMPUTED_VALUE"""),"-")</f>
        <v>-</v>
      </c>
      <c r="T71" s="14" t="str">
        <f ca="1">IFERROR(__xludf.DUMMYFUNCTION("""COMPUTED_VALUE"""),"-")</f>
        <v>-</v>
      </c>
      <c r="U71" s="14">
        <f ca="1">IFERROR(__xludf.DUMMYFUNCTION("""COMPUTED_VALUE"""),21)</f>
        <v>21</v>
      </c>
      <c r="V71" s="14" t="str">
        <f ca="1">IFERROR(__xludf.DUMMYFUNCTION("""COMPUTED_VALUE"""),"2150, 1317, 2942, 1119, 1051, 1264, 2900, 2960, 2820, 2930, 2920")</f>
        <v>2150, 1317, 2942, 1119, 1051, 1264, 2900, 2960, 2820, 2930, 2920</v>
      </c>
      <c r="W71" s="14">
        <f ca="1">IFERROR(__xludf.DUMMYFUNCTION("""COMPUTED_VALUE"""),10)</f>
        <v>10</v>
      </c>
      <c r="X71" s="14" t="str">
        <f ca="1">IFERROR(__xludf.DUMMYFUNCTION("""COMPUTED_VALUE"""),"2920, 2840, 1302, 2150, 2930, 2200")</f>
        <v>2920, 2840, 1302, 2150, 2930, 2200</v>
      </c>
      <c r="Y71" s="14" t="str">
        <f ca="1">IFERROR(__xludf.DUMMYFUNCTION("""COMPUTED_VALUE"""),"ja")</f>
        <v>ja</v>
      </c>
      <c r="Z71" s="14"/>
      <c r="AA71" s="14"/>
      <c r="AB71" s="14" t="str">
        <f ca="1">IFERROR(__xludf.DUMMYFUNCTION("""COMPUTED_VALUE"""),"x")</f>
        <v>x</v>
      </c>
      <c r="AC71" s="14" t="str">
        <f ca="1">IFERROR(__xludf.DUMMYFUNCTION("""COMPUTED_VALUE"""),"x")</f>
        <v>x</v>
      </c>
    </row>
    <row r="72" spans="1:29" ht="12.5" x14ac:dyDescent="0.25">
      <c r="A72" s="14" t="str">
        <f ca="1">IFERROR(__xludf.DUMMYFUNCTION("""COMPUTED_VALUE"""),"Camilla")</f>
        <v>Camilla</v>
      </c>
      <c r="B72" s="14" t="str">
        <f ca="1">IFERROR(__xludf.DUMMYFUNCTION("""COMPUTED_VALUE"""),"Min Bolighandel Odense")</f>
        <v>Min Bolighandel Odense</v>
      </c>
      <c r="C72" s="14">
        <f ca="1">IFERROR(__xludf.DUMMYFUNCTION("""COMPUTED_VALUE"""),40096906)</f>
        <v>40096906</v>
      </c>
      <c r="D72" s="14" t="str">
        <f ca="1">IFERROR(__xludf.DUMMYFUNCTION("""COMPUTED_VALUE"""),"MG-JY: 2.499,-")</f>
        <v>MG-JY: 2.499,-</v>
      </c>
      <c r="E72" s="14">
        <f ca="1">IFERROR(__xludf.DUMMYFUNCTION("""COMPUTED_VALUE"""),1201)</f>
        <v>1201</v>
      </c>
      <c r="F72" s="14" t="str">
        <f ca="1">IFERROR(__xludf.DUMMYFUNCTION("""COMPUTED_VALUE"""),"Kasper Kabbel")</f>
        <v>Kasper Kabbel</v>
      </c>
      <c r="G72" s="14" t="str">
        <f ca="1">IFERROR(__xludf.DUMMYFUNCTION("""COMPUTED_VALUE"""),"kasper@minbolighandel.dk")</f>
        <v>kasper@minbolighandel.dk</v>
      </c>
      <c r="H72" s="14">
        <f ca="1">IFERROR(__xludf.DUMMYFUNCTION("""COMPUTED_VALUE"""),53690306)</f>
        <v>53690306</v>
      </c>
      <c r="I72" s="14" t="str">
        <f ca="1">IFERROR(__xludf.DUMMYFUNCTION("""COMPUTED_VALUE"""),"Ruevej 66")</f>
        <v>Ruevej 66</v>
      </c>
      <c r="J72" s="14">
        <f ca="1">IFERROR(__xludf.DUMMYFUNCTION("""COMPUTED_VALUE"""),5462)</f>
        <v>5462</v>
      </c>
      <c r="K72" s="14" t="str">
        <f ca="1">IFERROR(__xludf.DUMMYFUNCTION("""COMPUTED_VALUE"""),"Morud")</f>
        <v>Morud</v>
      </c>
      <c r="L72" s="14"/>
      <c r="M72" s="14"/>
      <c r="N72" s="14"/>
      <c r="O72" s="14" t="str">
        <f ca="1">IFERROR(__xludf.DUMMYFUNCTION("""COMPUTED_VALUE"""),"5369 0306")</f>
        <v>5369 0306</v>
      </c>
      <c r="P72" s="14" t="str">
        <f ca="1">IFERROR(__xludf.DUMMYFUNCTION("""COMPUTED_VALUE"""),"kasper@minbolighandel.dk")</f>
        <v>kasper@minbolighandel.dk</v>
      </c>
      <c r="Q72" s="15" t="str">
        <f ca="1">IFERROR(__xludf.DUMMYFUNCTION("""COMPUTED_VALUE"""),"https://www.boliga.dk/maegler/25488")</f>
        <v>https://www.boliga.dk/maegler/25488</v>
      </c>
      <c r="R72" s="14" t="str">
        <f ca="1">IFERROR(__xludf.DUMMYFUNCTION("""COMPUTED_VALUE"""),"-")</f>
        <v>-</v>
      </c>
      <c r="S72" s="14" t="str">
        <f ca="1">IFERROR(__xludf.DUMMYFUNCTION("""COMPUTED_VALUE"""),"-")</f>
        <v>-</v>
      </c>
      <c r="T72" s="14" t="str">
        <f ca="1">IFERROR(__xludf.DUMMYFUNCTION("""COMPUTED_VALUE"""),"-")</f>
        <v>-</v>
      </c>
      <c r="U72" s="14">
        <f ca="1">IFERROR(__xludf.DUMMYFUNCTION("""COMPUTED_VALUE"""),6)</f>
        <v>6</v>
      </c>
      <c r="V72" s="14" t="str">
        <f ca="1">IFERROR(__xludf.DUMMYFUNCTION("""COMPUTED_VALUE"""),"5000, 5792, 5260, 5230")</f>
        <v>5000, 5792, 5260, 5230</v>
      </c>
      <c r="W72" s="14">
        <f ca="1">IFERROR(__xludf.DUMMYFUNCTION("""COMPUTED_VALUE"""),1)</f>
        <v>1</v>
      </c>
      <c r="X72" s="14">
        <f ca="1">IFERROR(__xludf.DUMMYFUNCTION("""COMPUTED_VALUE"""),5000)</f>
        <v>5000</v>
      </c>
      <c r="Y72" s="14" t="str">
        <f ca="1">IFERROR(__xludf.DUMMYFUNCTION("""COMPUTED_VALUE"""),"ja")</f>
        <v>ja</v>
      </c>
      <c r="Z72" s="14"/>
      <c r="AA72" s="14"/>
      <c r="AB72" s="14" t="str">
        <f ca="1">IFERROR(__xludf.DUMMYFUNCTION("""COMPUTED_VALUE"""),"x")</f>
        <v>x</v>
      </c>
      <c r="AC72" s="14" t="str">
        <f ca="1">IFERROR(__xludf.DUMMYFUNCTION("""COMPUTED_VALUE"""),"x")</f>
        <v>x</v>
      </c>
    </row>
    <row r="73" spans="1:29" ht="12.5" x14ac:dyDescent="0.25">
      <c r="A73" s="14" t="str">
        <f ca="1">IFERROR(__xludf.DUMMYFUNCTION("""COMPUTED_VALUE"""),"Camilla")</f>
        <v>Camilla</v>
      </c>
      <c r="B73" s="14" t="str">
        <f ca="1">IFERROR(__xludf.DUMMYFUNCTION("""COMPUTED_VALUE"""),"Min Bolighandel Værløse og Farum")</f>
        <v>Min Bolighandel Værløse og Farum</v>
      </c>
      <c r="C73" s="14">
        <f ca="1">IFERROR(__xludf.DUMMYFUNCTION("""COMPUTED_VALUE"""),30709985)</f>
        <v>30709985</v>
      </c>
      <c r="D73" s="14" t="str">
        <f ca="1">IFERROR(__xludf.DUMMYFUNCTION("""COMPUTED_VALUE"""),"MG-SJ: 3.499,-")</f>
        <v>MG-SJ: 3.499,-</v>
      </c>
      <c r="E73" s="14">
        <f ca="1">IFERROR(__xludf.DUMMYFUNCTION("""COMPUTED_VALUE"""),1202)</f>
        <v>1202</v>
      </c>
      <c r="F73" s="14" t="str">
        <f ca="1">IFERROR(__xludf.DUMMYFUNCTION("""COMPUTED_VALUE"""),"Simon Christensen")</f>
        <v>Simon Christensen</v>
      </c>
      <c r="G73" s="14" t="str">
        <f ca="1">IFERROR(__xludf.DUMMYFUNCTION("""COMPUTED_VALUE"""),"simon@minbolighandel.dk")</f>
        <v>simon@minbolighandel.dk</v>
      </c>
      <c r="H73" s="14">
        <f ca="1">IFERROR(__xludf.DUMMYFUNCTION("""COMPUTED_VALUE"""),51334060)</f>
        <v>51334060</v>
      </c>
      <c r="I73" s="14" t="str">
        <f ca="1">IFERROR(__xludf.DUMMYFUNCTION("""COMPUTED_VALUE"""),"Kirke Værløsevej 16")</f>
        <v>Kirke Værløsevej 16</v>
      </c>
      <c r="J73" s="14">
        <f ca="1">IFERROR(__xludf.DUMMYFUNCTION("""COMPUTED_VALUE"""),3500)</f>
        <v>3500</v>
      </c>
      <c r="K73" s="14" t="str">
        <f ca="1">IFERROR(__xludf.DUMMYFUNCTION("""COMPUTED_VALUE"""),"Værløse")</f>
        <v>Værløse</v>
      </c>
      <c r="L73" s="14" t="str">
        <f ca="1">IFERROR(__xludf.DUMMYFUNCTION("""COMPUTED_VALUE"""),"Furesø")</f>
        <v>Furesø</v>
      </c>
      <c r="M73" s="14" t="str">
        <f ca="1">IFERROR(__xludf.DUMMYFUNCTION("""COMPUTED_VALUE"""),"Nordsjælland")</f>
        <v>Nordsjælland</v>
      </c>
      <c r="N73" s="14" t="str">
        <f ca="1">IFERROR(__xludf.DUMMYFUNCTION("""COMPUTED_VALUE"""),"Hovedstaden")</f>
        <v>Hovedstaden</v>
      </c>
      <c r="O73" s="14">
        <f ca="1">IFERROR(__xludf.DUMMYFUNCTION("""COMPUTED_VALUE"""),51334060)</f>
        <v>51334060</v>
      </c>
      <c r="P73" s="14" t="str">
        <f ca="1">IFERROR(__xludf.DUMMYFUNCTION("""COMPUTED_VALUE"""),"simon@minbolighandel.dk")</f>
        <v>simon@minbolighandel.dk</v>
      </c>
      <c r="Q73" s="15" t="str">
        <f ca="1">IFERROR(__xludf.DUMMYFUNCTION("""COMPUTED_VALUE"""),"https://www.boliga.dk/maegler/25804")</f>
        <v>https://www.boliga.dk/maegler/25804</v>
      </c>
      <c r="R73" s="14" t="str">
        <f ca="1">IFERROR(__xludf.DUMMYFUNCTION("""COMPUTED_VALUE"""),"-")</f>
        <v>-</v>
      </c>
      <c r="S73" s="14" t="str">
        <f ca="1">IFERROR(__xludf.DUMMYFUNCTION("""COMPUTED_VALUE"""),"-")</f>
        <v>-</v>
      </c>
      <c r="T73" s="14" t="str">
        <f ca="1">IFERROR(__xludf.DUMMYFUNCTION("""COMPUTED_VALUE"""),"-")</f>
        <v>-</v>
      </c>
      <c r="U73" s="14">
        <f ca="1">IFERROR(__xludf.DUMMYFUNCTION("""COMPUTED_VALUE"""),7)</f>
        <v>7</v>
      </c>
      <c r="V73" s="14" t="str">
        <f ca="1">IFERROR(__xludf.DUMMYFUNCTION("""COMPUTED_VALUE"""),"3210, 2300, 3500, 4340, 3520, 3600")</f>
        <v>3210, 2300, 3500, 4340, 3520, 3600</v>
      </c>
      <c r="W73" s="14">
        <f ca="1">IFERROR(__xludf.DUMMYFUNCTION("""COMPUTED_VALUE"""),4)</f>
        <v>4</v>
      </c>
      <c r="X73" s="14" t="str">
        <f ca="1">IFERROR(__xludf.DUMMYFUNCTION("""COMPUTED_VALUE"""),"3630, 2400, 2640, 3520")</f>
        <v>3630, 2400, 2640, 3520</v>
      </c>
      <c r="Y73" s="14" t="str">
        <f ca="1">IFERROR(__xludf.DUMMYFUNCTION("""COMPUTED_VALUE"""),"ja")</f>
        <v>ja</v>
      </c>
      <c r="Z73" s="14"/>
      <c r="AA73" s="14"/>
      <c r="AB73" s="14" t="str">
        <f ca="1">IFERROR(__xludf.DUMMYFUNCTION("""COMPUTED_VALUE"""),"x")</f>
        <v>x</v>
      </c>
      <c r="AC73" s="14" t="str">
        <f ca="1">IFERROR(__xludf.DUMMYFUNCTION("""COMPUTED_VALUE"""),"x")</f>
        <v>x</v>
      </c>
    </row>
    <row r="74" spans="1:29" ht="12.5" x14ac:dyDescent="0.25">
      <c r="A74" s="14" t="str">
        <f ca="1">IFERROR(__xludf.DUMMYFUNCTION("""COMPUTED_VALUE"""),"Camilla")</f>
        <v>Camilla</v>
      </c>
      <c r="B74" s="14" t="str">
        <f ca="1">IFERROR(__xludf.DUMMYFUNCTION("""COMPUTED_VALUE"""),"Min Bolighandel Øresund")</f>
        <v>Min Bolighandel Øresund</v>
      </c>
      <c r="C74" s="14">
        <f ca="1">IFERROR(__xludf.DUMMYFUNCTION("""COMPUTED_VALUE"""),37858439)</f>
        <v>37858439</v>
      </c>
      <c r="D74" s="14" t="str">
        <f ca="1">IFERROR(__xludf.DUMMYFUNCTION("""COMPUTED_VALUE"""),"MG-SJ: 3.499,-")</f>
        <v>MG-SJ: 3.499,-</v>
      </c>
      <c r="E74" s="14">
        <f ca="1">IFERROR(__xludf.DUMMYFUNCTION("""COMPUTED_VALUE"""),1202)</f>
        <v>1202</v>
      </c>
      <c r="F74" s="14" t="str">
        <f ca="1">IFERROR(__xludf.DUMMYFUNCTION("""COMPUTED_VALUE"""),"Susanne Søgaard")</f>
        <v>Susanne Søgaard</v>
      </c>
      <c r="G74" s="15" t="str">
        <f ca="1">IFERROR(__xludf.DUMMYFUNCTION("""COMPUTED_VALUE"""),"susanne@minbolighandel.dk")</f>
        <v>susanne@minbolighandel.dk</v>
      </c>
      <c r="H74" s="14">
        <f ca="1">IFERROR(__xludf.DUMMYFUNCTION("""COMPUTED_VALUE"""),31103958)</f>
        <v>31103958</v>
      </c>
      <c r="I74" s="14" t="str">
        <f ca="1">IFERROR(__xludf.DUMMYFUNCTION("""COMPUTED_VALUE"""),"Lyngsø Allé 3C")</f>
        <v>Lyngsø Allé 3C</v>
      </c>
      <c r="J74" s="14">
        <f ca="1">IFERROR(__xludf.DUMMYFUNCTION("""COMPUTED_VALUE"""),2970)</f>
        <v>2970</v>
      </c>
      <c r="K74" s="14" t="str">
        <f ca="1">IFERROR(__xludf.DUMMYFUNCTION("""COMPUTED_VALUE"""),"Hørsholm")</f>
        <v>Hørsholm</v>
      </c>
      <c r="L74" s="14" t="str">
        <f ca="1">IFERROR(__xludf.DUMMYFUNCTION("""COMPUTED_VALUE"""),"Hørsholm")</f>
        <v>Hørsholm</v>
      </c>
      <c r="M74" s="14" t="str">
        <f ca="1">IFERROR(__xludf.DUMMYFUNCTION("""COMPUTED_VALUE"""),"Nordsjælland")</f>
        <v>Nordsjælland</v>
      </c>
      <c r="N74" s="14" t="str">
        <f ca="1">IFERROR(__xludf.DUMMYFUNCTION("""COMPUTED_VALUE"""),"Hovedstaden")</f>
        <v>Hovedstaden</v>
      </c>
      <c r="O74" s="14">
        <f ca="1">IFERROR(__xludf.DUMMYFUNCTION("""COMPUTED_VALUE"""),20146239)</f>
        <v>20146239</v>
      </c>
      <c r="P74" s="14" t="str">
        <f ca="1">IFERROR(__xludf.DUMMYFUNCTION("""COMPUTED_VALUE"""),"susanne@minbolighandel.dk")</f>
        <v>susanne@minbolighandel.dk</v>
      </c>
      <c r="Q74" s="15" t="str">
        <f ca="1">IFERROR(__xludf.DUMMYFUNCTION("""COMPUTED_VALUE"""),"https://www.boliga.dk/maegler/25802")</f>
        <v>https://www.boliga.dk/maegler/25802</v>
      </c>
      <c r="R74" s="14" t="str">
        <f ca="1">IFERROR(__xludf.DUMMYFUNCTION("""COMPUTED_VALUE"""),"-")</f>
        <v>-</v>
      </c>
      <c r="S74" s="14" t="str">
        <f ca="1">IFERROR(__xludf.DUMMYFUNCTION("""COMPUTED_VALUE"""),"-")</f>
        <v>-</v>
      </c>
      <c r="T74" s="14" t="str">
        <f ca="1">IFERROR(__xludf.DUMMYFUNCTION("""COMPUTED_VALUE"""),"-")</f>
        <v>-</v>
      </c>
      <c r="U74" s="14">
        <f ca="1">IFERROR(__xludf.DUMMYFUNCTION("""COMPUTED_VALUE"""),3)</f>
        <v>3</v>
      </c>
      <c r="V74" s="14" t="str">
        <f ca="1">IFERROR(__xludf.DUMMYFUNCTION("""COMPUTED_VALUE"""),"2950, 3050")</f>
        <v>2950, 3050</v>
      </c>
      <c r="W74" s="14">
        <f ca="1">IFERROR(__xludf.DUMMYFUNCTION("""COMPUTED_VALUE"""),4)</f>
        <v>4</v>
      </c>
      <c r="X74" s="14" t="str">
        <f ca="1">IFERROR(__xludf.DUMMYFUNCTION("""COMPUTED_VALUE"""),"3150, 3000, 2980, 2990")</f>
        <v>3150, 3000, 2980, 2990</v>
      </c>
      <c r="Y74" s="14" t="str">
        <f ca="1">IFERROR(__xludf.DUMMYFUNCTION("""COMPUTED_VALUE"""),"ja")</f>
        <v>ja</v>
      </c>
      <c r="Z74" s="14"/>
      <c r="AA74" s="14"/>
      <c r="AB74" s="14" t="str">
        <f ca="1">IFERROR(__xludf.DUMMYFUNCTION("""COMPUTED_VALUE"""),"x")</f>
        <v>x</v>
      </c>
      <c r="AC74" s="14" t="str">
        <f ca="1">IFERROR(__xludf.DUMMYFUNCTION("""COMPUTED_VALUE"""),"x")</f>
        <v>x</v>
      </c>
    </row>
    <row r="75" spans="1:29" ht="12.5" x14ac:dyDescent="0.25">
      <c r="A75" s="14" t="str">
        <f ca="1">IFERROR(__xludf.DUMMYFUNCTION("""COMPUTED_VALUE"""),"Camilla")</f>
        <v>Camilla</v>
      </c>
      <c r="B75" s="14" t="str">
        <f ca="1">IFERROR(__xludf.DUMMYFUNCTION("""COMPUTED_VALUE"""),"Min Bolighandel Helsingør")</f>
        <v>Min Bolighandel Helsingør</v>
      </c>
      <c r="C75" s="14">
        <f ca="1">IFERROR(__xludf.DUMMYFUNCTION("""COMPUTED_VALUE"""),42906293)</f>
        <v>42906293</v>
      </c>
      <c r="D75" s="14" t="str">
        <f ca="1">IFERROR(__xludf.DUMMYFUNCTION("""COMPUTED_VALUE"""),"MG-SJ: 3.499,-")</f>
        <v>MG-SJ: 3.499,-</v>
      </c>
      <c r="E75" s="14">
        <f ca="1">IFERROR(__xludf.DUMMYFUNCTION("""COMPUTED_VALUE"""),1202)</f>
        <v>1202</v>
      </c>
      <c r="F75" s="14" t="str">
        <f ca="1">IFERROR(__xludf.DUMMYFUNCTION("""COMPUTED_VALUE"""),"Susanne Søgaard")</f>
        <v>Susanne Søgaard</v>
      </c>
      <c r="G75" s="15" t="str">
        <f ca="1">IFERROR(__xludf.DUMMYFUNCTION("""COMPUTED_VALUE"""),"susanne@minbolighandel.dk")</f>
        <v>susanne@minbolighandel.dk</v>
      </c>
      <c r="H75" s="14">
        <f ca="1">IFERROR(__xludf.DUMMYFUNCTION("""COMPUTED_VALUE"""),31103958)</f>
        <v>31103958</v>
      </c>
      <c r="I75" s="14" t="str">
        <f ca="1">IFERROR(__xludf.DUMMYFUNCTION("""COMPUTED_VALUE"""),"Emil Noldesvej 42")</f>
        <v>Emil Noldesvej 42</v>
      </c>
      <c r="J75" s="14">
        <f ca="1">IFERROR(__xludf.DUMMYFUNCTION("""COMPUTED_VALUE"""),3000)</f>
        <v>3000</v>
      </c>
      <c r="K75" s="14" t="str">
        <f ca="1">IFERROR(__xludf.DUMMYFUNCTION("""COMPUTED_VALUE"""),"Helsingør")</f>
        <v>Helsingør</v>
      </c>
      <c r="L75" s="14"/>
      <c r="M75" s="14"/>
      <c r="N75" s="14"/>
      <c r="O75" s="14"/>
      <c r="P75" s="14"/>
      <c r="Q75" s="15" t="str">
        <f ca="1">IFERROR(__xludf.DUMMYFUNCTION("""COMPUTED_VALUE"""),"https://www.boliga.dk/maegler/25802")</f>
        <v>https://www.boliga.dk/maegler/25802</v>
      </c>
      <c r="R75" s="14"/>
      <c r="S75" s="14"/>
      <c r="T75" s="14"/>
      <c r="U75" s="14"/>
      <c r="V75" s="14"/>
      <c r="W75" s="14"/>
      <c r="X75" s="14"/>
      <c r="Y75" s="14" t="str">
        <f ca="1">IFERROR(__xludf.DUMMYFUNCTION("""COMPUTED_VALUE"""),"ja")</f>
        <v>ja</v>
      </c>
      <c r="Z75" s="14"/>
      <c r="AA75" s="14"/>
      <c r="AB75" s="14" t="str">
        <f ca="1">IFERROR(__xludf.DUMMYFUNCTION("""COMPUTED_VALUE"""),"x")</f>
        <v>x</v>
      </c>
      <c r="AC75" s="14" t="str">
        <f ca="1">IFERROR(__xludf.DUMMYFUNCTION("""COMPUTED_VALUE"""),"x")</f>
        <v>x</v>
      </c>
    </row>
    <row r="76" spans="1:29" ht="12.5" x14ac:dyDescent="0.25">
      <c r="A76" s="14" t="str">
        <f ca="1">IFERROR(__xludf.DUMMYFUNCTION("""COMPUTED_VALUE"""),"Camilla")</f>
        <v>Camilla</v>
      </c>
      <c r="B76" s="14" t="str">
        <f ca="1">IFERROR(__xludf.DUMMYFUNCTION("""COMPUTED_VALUE"""),"MM Living")</f>
        <v>MM Living</v>
      </c>
      <c r="C76" s="14">
        <f ca="1">IFERROR(__xludf.DUMMYFUNCTION("""COMPUTED_VALUE"""),29185956)</f>
        <v>29185956</v>
      </c>
      <c r="D76" s="14" t="str">
        <f ca="1">IFERROR(__xludf.DUMMYFUNCTION("""COMPUTED_VALUE"""),"MG-SJ: 3.499,-")</f>
        <v>MG-SJ: 3.499,-</v>
      </c>
      <c r="E76" s="14">
        <f ca="1">IFERROR(__xludf.DUMMYFUNCTION("""COMPUTED_VALUE"""),1202)</f>
        <v>1202</v>
      </c>
      <c r="F76" s="14" t="str">
        <f ca="1">IFERROR(__xludf.DUMMYFUNCTION("""COMPUTED_VALUE"""),"Jan Stegegaard")</f>
        <v>Jan Stegegaard</v>
      </c>
      <c r="G76" s="15" t="str">
        <f ca="1">IFERROR(__xludf.DUMMYFUNCTION("""COMPUTED_VALUE"""),"jg@mmliving.dk")</f>
        <v>jg@mmliving.dk</v>
      </c>
      <c r="H76" s="14">
        <f ca="1">IFERROR(__xludf.DUMMYFUNCTION("""COMPUTED_VALUE"""),82307300)</f>
        <v>82307300</v>
      </c>
      <c r="I76" s="14" t="str">
        <f ca="1">IFERROR(__xludf.DUMMYFUNCTION("""COMPUTED_VALUE"""),"Ørestads Boulevard 59D")</f>
        <v>Ørestads Boulevard 59D</v>
      </c>
      <c r="J76" s="14">
        <f ca="1">IFERROR(__xludf.DUMMYFUNCTION("""COMPUTED_VALUE"""),2300)</f>
        <v>2300</v>
      </c>
      <c r="K76" s="14" t="str">
        <f ca="1">IFERROR(__xludf.DUMMYFUNCTION("""COMPUTED_VALUE"""),"København S")</f>
        <v>København S</v>
      </c>
      <c r="L76" s="14" t="str">
        <f ca="1">IFERROR(__xludf.DUMMYFUNCTION("""COMPUTED_VALUE"""),"København")</f>
        <v>København</v>
      </c>
      <c r="M76" s="14" t="str">
        <f ca="1">IFERROR(__xludf.DUMMYFUNCTION("""COMPUTED_VALUE"""),"København By")</f>
        <v>København By</v>
      </c>
      <c r="N76" s="14" t="str">
        <f ca="1">IFERROR(__xludf.DUMMYFUNCTION("""COMPUTED_VALUE"""),"Hovedstaden")</f>
        <v>Hovedstaden</v>
      </c>
      <c r="O76" s="14">
        <f ca="1">IFERROR(__xludf.DUMMYFUNCTION("""COMPUTED_VALUE"""),82307300)</f>
        <v>82307300</v>
      </c>
      <c r="P76" s="14" t="str">
        <f ca="1">IFERROR(__xludf.DUMMYFUNCTION("""COMPUTED_VALUE"""),"info@mmliving.dk")</f>
        <v>info@mmliving.dk</v>
      </c>
      <c r="Q76" s="15" t="str">
        <f ca="1">IFERROR(__xludf.DUMMYFUNCTION("""COMPUTED_VALUE"""),"https://www.boliga.dk/maegler/26076")</f>
        <v>https://www.boliga.dk/maegler/26076</v>
      </c>
      <c r="R76" s="14" t="str">
        <f ca="1">IFERROR(__xludf.DUMMYFUNCTION("""COMPUTED_VALUE"""),"-")</f>
        <v>-</v>
      </c>
      <c r="S76" s="14" t="str">
        <f ca="1">IFERROR(__xludf.DUMMYFUNCTION("""COMPUTED_VALUE"""),"-")</f>
        <v>-</v>
      </c>
      <c r="T76" s="14" t="str">
        <f ca="1">IFERROR(__xludf.DUMMYFUNCTION("""COMPUTED_VALUE"""),"-")</f>
        <v>-</v>
      </c>
      <c r="U76" s="14">
        <f ca="1">IFERROR(__xludf.DUMMYFUNCTION("""COMPUTED_VALUE"""),11)</f>
        <v>11</v>
      </c>
      <c r="V76" s="14" t="str">
        <f ca="1">IFERROR(__xludf.DUMMYFUNCTION("""COMPUTED_VALUE"""),"2770, 2300, 3600")</f>
        <v>2770, 2300, 3600</v>
      </c>
      <c r="W76" s="14">
        <f ca="1">IFERROR(__xludf.DUMMYFUNCTION("""COMPUTED_VALUE"""),8)</f>
        <v>8</v>
      </c>
      <c r="X76" s="14">
        <f ca="1">IFERROR(__xludf.DUMMYFUNCTION("""COMPUTED_VALUE"""),2300)</f>
        <v>2300</v>
      </c>
      <c r="Y76" s="14" t="str">
        <f ca="1">IFERROR(__xludf.DUMMYFUNCTION("""COMPUTED_VALUE"""),"ja")</f>
        <v>ja</v>
      </c>
      <c r="Z76" s="14"/>
      <c r="AA76" s="14"/>
      <c r="AB76" s="14" t="str">
        <f ca="1">IFERROR(__xludf.DUMMYFUNCTION("""COMPUTED_VALUE"""),"x")</f>
        <v>x</v>
      </c>
      <c r="AC76" s="14" t="str">
        <f ca="1">IFERROR(__xludf.DUMMYFUNCTION("""COMPUTED_VALUE"""),"x")</f>
        <v>x</v>
      </c>
    </row>
    <row r="77" spans="1:29" ht="12.5" x14ac:dyDescent="0.25">
      <c r="A77" s="14" t="str">
        <f ca="1">IFERROR(__xludf.DUMMYFUNCTION("""COMPUTED_VALUE"""),"Camilla")</f>
        <v>Camilla</v>
      </c>
      <c r="B77" s="14" t="str">
        <f ca="1">IFERROR(__xludf.DUMMYFUNCTION("""COMPUTED_VALUE"""),"Nem-Ejendomsmægler")</f>
        <v>Nem-Ejendomsmægler</v>
      </c>
      <c r="C77" s="14">
        <f ca="1">IFERROR(__xludf.DUMMYFUNCTION("""COMPUTED_VALUE"""),42161071)</f>
        <v>42161071</v>
      </c>
      <c r="D77" s="14" t="str">
        <f ca="1">IFERROR(__xludf.DUMMYFUNCTION("""COMPUTED_VALUE"""),"MG-SJ: 3.499,-")</f>
        <v>MG-SJ: 3.499,-</v>
      </c>
      <c r="E77" s="14">
        <f ca="1">IFERROR(__xludf.DUMMYFUNCTION("""COMPUTED_VALUE"""),1202)</f>
        <v>1202</v>
      </c>
      <c r="F77" s="14" t="str">
        <f ca="1">IFERROR(__xludf.DUMMYFUNCTION("""COMPUTED_VALUE"""),"Nichlas Frandsen")</f>
        <v>Nichlas Frandsen</v>
      </c>
      <c r="G77" s="14" t="str">
        <f ca="1">IFERROR(__xludf.DUMMYFUNCTION("""COMPUTED_VALUE"""),"nkf@nem-boligsalg.dk")</f>
        <v>nkf@nem-boligsalg.dk</v>
      </c>
      <c r="H77" s="14">
        <f ca="1">IFERROR(__xludf.DUMMYFUNCTION("""COMPUTED_VALUE"""),40809258)</f>
        <v>40809258</v>
      </c>
      <c r="I77" s="14" t="str">
        <f ca="1">IFERROR(__xludf.DUMMYFUNCTION("""COMPUTED_VALUE"""),"Tuborg Boulevard 12, 3.")</f>
        <v>Tuborg Boulevard 12, 3.</v>
      </c>
      <c r="J77" s="14">
        <f ca="1">IFERROR(__xludf.DUMMYFUNCTION("""COMPUTED_VALUE"""),2900)</f>
        <v>2900</v>
      </c>
      <c r="K77" s="14" t="str">
        <f ca="1">IFERROR(__xludf.DUMMYFUNCTION("""COMPUTED_VALUE"""),"Hellerup")</f>
        <v>Hellerup</v>
      </c>
      <c r="L77" s="14" t="str">
        <f ca="1">IFERROR(__xludf.DUMMYFUNCTION("""COMPUTED_VALUE"""),"Gentofte")</f>
        <v>Gentofte</v>
      </c>
      <c r="M77" s="14" t="str">
        <f ca="1">IFERROR(__xludf.DUMMYFUNCTION("""COMPUTED_VALUE"""),"Københavns omegn")</f>
        <v>Københavns omegn</v>
      </c>
      <c r="N77" s="14" t="str">
        <f ca="1">IFERROR(__xludf.DUMMYFUNCTION("""COMPUTED_VALUE"""),"Hovedstaden")</f>
        <v>Hovedstaden</v>
      </c>
      <c r="O77" s="14">
        <f ca="1">IFERROR(__xludf.DUMMYFUNCTION("""COMPUTED_VALUE"""),70224044)</f>
        <v>70224044</v>
      </c>
      <c r="P77" s="14" t="str">
        <f ca="1">IFERROR(__xludf.DUMMYFUNCTION("""COMPUTED_VALUE"""),"kontakt@nem-maegler.dk")</f>
        <v>kontakt@nem-maegler.dk</v>
      </c>
      <c r="Q77" s="15" t="str">
        <f ca="1">IFERROR(__xludf.DUMMYFUNCTION("""COMPUTED_VALUE"""),"https://www.boliga.dk/maegler/24688")</f>
        <v>https://www.boliga.dk/maegler/24688</v>
      </c>
      <c r="R77" s="14" t="str">
        <f ca="1">IFERROR(__xludf.DUMMYFUNCTION("""COMPUTED_VALUE"""),"-")</f>
        <v>-</v>
      </c>
      <c r="S77" s="14" t="str">
        <f ca="1">IFERROR(__xludf.DUMMYFUNCTION("""COMPUTED_VALUE"""),"-")</f>
        <v>-</v>
      </c>
      <c r="T77" s="14" t="str">
        <f ca="1">IFERROR(__xludf.DUMMYFUNCTION("""COMPUTED_VALUE"""),"-")</f>
        <v>-</v>
      </c>
      <c r="U77" s="14">
        <f ca="1">IFERROR(__xludf.DUMMYFUNCTION("""COMPUTED_VALUE"""),3)</f>
        <v>3</v>
      </c>
      <c r="V77" s="14" t="str">
        <f ca="1">IFERROR(__xludf.DUMMYFUNCTION("""COMPUTED_VALUE"""),"2500, 2000, 6360")</f>
        <v>2500, 2000, 6360</v>
      </c>
      <c r="W77" s="14">
        <f ca="1">IFERROR(__xludf.DUMMYFUNCTION("""COMPUTED_VALUE"""),2)</f>
        <v>2</v>
      </c>
      <c r="X77" s="14" t="str">
        <f ca="1">IFERROR(__xludf.DUMMYFUNCTION("""COMPUTED_VALUE"""),"2900, 2760")</f>
        <v>2900, 2760</v>
      </c>
      <c r="Y77" s="14" t="str">
        <f ca="1">IFERROR(__xludf.DUMMYFUNCTION("""COMPUTED_VALUE"""),"ja")</f>
        <v>ja</v>
      </c>
      <c r="Z77" s="14"/>
      <c r="AA77" s="14"/>
      <c r="AB77" s="14" t="str">
        <f ca="1">IFERROR(__xludf.DUMMYFUNCTION("""COMPUTED_VALUE"""),"x")</f>
        <v>x</v>
      </c>
      <c r="AC77" s="14" t="str">
        <f ca="1">IFERROR(__xludf.DUMMYFUNCTION("""COMPUTED_VALUE"""),"x")</f>
        <v>x</v>
      </c>
    </row>
    <row r="78" spans="1:29" ht="12.5" x14ac:dyDescent="0.25">
      <c r="A78" s="14" t="str">
        <f ca="1">IFERROR(__xludf.DUMMYFUNCTION("""COMPUTED_VALUE"""),"Camilla")</f>
        <v>Camilla</v>
      </c>
      <c r="B78" s="14" t="str">
        <f ca="1">IFERROR(__xludf.DUMMYFUNCTION("""COMPUTED_VALUE"""),"Nicolaj Kejser")</f>
        <v>Nicolaj Kejser</v>
      </c>
      <c r="C78" s="14">
        <f ca="1">IFERROR(__xludf.DUMMYFUNCTION("""COMPUTED_VALUE"""),40587349)</f>
        <v>40587349</v>
      </c>
      <c r="D78" s="14" t="str">
        <f ca="1">IFERROR(__xludf.DUMMYFUNCTION("""COMPUTED_VALUE"""),"MG-SJ: 3.499,-")</f>
        <v>MG-SJ: 3.499,-</v>
      </c>
      <c r="E78" s="14">
        <f ca="1">IFERROR(__xludf.DUMMYFUNCTION("""COMPUTED_VALUE"""),1202)</f>
        <v>1202</v>
      </c>
      <c r="F78" s="14" t="str">
        <f ca="1">IFERROR(__xludf.DUMMYFUNCTION("""COMPUTED_VALUE"""),"Nicholaj Kejser")</f>
        <v>Nicholaj Kejser</v>
      </c>
      <c r="G78" s="15" t="str">
        <f ca="1">IFERROR(__xludf.DUMMYFUNCTION("""COMPUTED_VALUE"""),"nk@nicolajkejser.dk")</f>
        <v>nk@nicolajkejser.dk</v>
      </c>
      <c r="H78" s="14">
        <f ca="1">IFERROR(__xludf.DUMMYFUNCTION("""COMPUTED_VALUE"""),40447464)</f>
        <v>40447464</v>
      </c>
      <c r="I78" s="14" t="str">
        <f ca="1">IFERROR(__xludf.DUMMYFUNCTION("""COMPUTED_VALUE"""),"Åbenrå 6, 3.")</f>
        <v>Åbenrå 6, 3.</v>
      </c>
      <c r="J78" s="14">
        <f ca="1">IFERROR(__xludf.DUMMYFUNCTION("""COMPUTED_VALUE"""),1124)</f>
        <v>1124</v>
      </c>
      <c r="K78" s="14" t="str">
        <f ca="1">IFERROR(__xludf.DUMMYFUNCTION("""COMPUTED_VALUE"""),"København K")</f>
        <v>København K</v>
      </c>
      <c r="L78" s="14" t="str">
        <f ca="1">IFERROR(__xludf.DUMMYFUNCTION("""COMPUTED_VALUE"""),"København")</f>
        <v>København</v>
      </c>
      <c r="M78" s="14" t="str">
        <f ca="1">IFERROR(__xludf.DUMMYFUNCTION("""COMPUTED_VALUE"""),"København By")</f>
        <v>København By</v>
      </c>
      <c r="N78" s="14" t="str">
        <f ca="1">IFERROR(__xludf.DUMMYFUNCTION("""COMPUTED_VALUE"""),"Hovedstaden")</f>
        <v>Hovedstaden</v>
      </c>
      <c r="O78" s="14">
        <f ca="1">IFERROR(__xludf.DUMMYFUNCTION("""COMPUTED_VALUE"""),40447464)</f>
        <v>40447464</v>
      </c>
      <c r="P78" s="14" t="str">
        <f ca="1">IFERROR(__xludf.DUMMYFUNCTION("""COMPUTED_VALUE"""),"nk@nicolajkejser.dk")</f>
        <v>nk@nicolajkejser.dk</v>
      </c>
      <c r="Q78" s="15" t="str">
        <f ca="1">IFERROR(__xludf.DUMMYFUNCTION("""COMPUTED_VALUE"""),"https://www.boliga.dk/maegler/27277")</f>
        <v>https://www.boliga.dk/maegler/27277</v>
      </c>
      <c r="R78" s="14" t="str">
        <f ca="1">IFERROR(__xludf.DUMMYFUNCTION("""COMPUTED_VALUE"""),"-")</f>
        <v>-</v>
      </c>
      <c r="S78" s="14" t="str">
        <f ca="1">IFERROR(__xludf.DUMMYFUNCTION("""COMPUTED_VALUE"""),"-")</f>
        <v>-</v>
      </c>
      <c r="T78" s="14" t="str">
        <f ca="1">IFERROR(__xludf.DUMMYFUNCTION("""COMPUTED_VALUE"""),"-")</f>
        <v>-</v>
      </c>
      <c r="U78" s="14">
        <f ca="1">IFERROR(__xludf.DUMMYFUNCTION("""COMPUTED_VALUE"""),12)</f>
        <v>12</v>
      </c>
      <c r="V78" s="14" t="str">
        <f ca="1">IFERROR(__xludf.DUMMYFUNCTION("""COMPUTED_VALUE"""),"1400, 1879, 2200, 2000, 2700, 1705, 2100, 2610, 2800, 2900")</f>
        <v>1400, 1879, 2200, 2000, 2700, 1705, 2100, 2610, 2800, 2900</v>
      </c>
      <c r="W78" s="14">
        <f ca="1">IFERROR(__xludf.DUMMYFUNCTION("""COMPUTED_VALUE"""),7)</f>
        <v>7</v>
      </c>
      <c r="X78" s="14" t="str">
        <f ca="1">IFERROR(__xludf.DUMMYFUNCTION("""COMPUTED_VALUE"""),"1810, 2700, 2100, 2400, 2500, 2740, 4000")</f>
        <v>1810, 2700, 2100, 2400, 2500, 2740, 4000</v>
      </c>
      <c r="Y78" s="14" t="str">
        <f ca="1">IFERROR(__xludf.DUMMYFUNCTION("""COMPUTED_VALUE"""),"ja")</f>
        <v>ja</v>
      </c>
      <c r="Z78" s="14"/>
      <c r="AA78" s="14"/>
      <c r="AB78" s="14" t="str">
        <f ca="1">IFERROR(__xludf.DUMMYFUNCTION("""COMPUTED_VALUE"""),"x")</f>
        <v>x</v>
      </c>
      <c r="AC78" s="14" t="str">
        <f ca="1">IFERROR(__xludf.DUMMYFUNCTION("""COMPUTED_VALUE"""),"x")</f>
        <v>x</v>
      </c>
    </row>
    <row r="79" spans="1:29" ht="12.5" x14ac:dyDescent="0.25">
      <c r="A79" s="14" t="str">
        <f ca="1">IFERROR(__xludf.DUMMYFUNCTION("""COMPUTED_VALUE"""),"Camilla")</f>
        <v>Camilla</v>
      </c>
      <c r="B79" s="14" t="str">
        <f ca="1">IFERROR(__xludf.DUMMYFUNCTION("""COMPUTED_VALUE"""),"Nikolai Vlasman - Ejendomsmægler")</f>
        <v>Nikolai Vlasman - Ejendomsmægler</v>
      </c>
      <c r="C79" s="14">
        <f ca="1">IFERROR(__xludf.DUMMYFUNCTION("""COMPUTED_VALUE"""),34820023)</f>
        <v>34820023</v>
      </c>
      <c r="D79" s="14" t="str">
        <f ca="1">IFERROR(__xludf.DUMMYFUNCTION("""COMPUTED_VALUE"""),"MG-SJ: 3.499,-")</f>
        <v>MG-SJ: 3.499,-</v>
      </c>
      <c r="E79" s="14">
        <f ca="1">IFERROR(__xludf.DUMMYFUNCTION("""COMPUTED_VALUE"""),1202)</f>
        <v>1202</v>
      </c>
      <c r="F79" s="14" t="str">
        <f ca="1">IFERROR(__xludf.DUMMYFUNCTION("""COMPUTED_VALUE"""),"Nikolai Vlasman")</f>
        <v>Nikolai Vlasman</v>
      </c>
      <c r="G79" s="15" t="str">
        <f ca="1">IFERROR(__xludf.DUMMYFUNCTION("""COMPUTED_VALUE"""),"nikolai@vlasman.dk")</f>
        <v>nikolai@vlasman.dk</v>
      </c>
      <c r="H79" s="14">
        <f ca="1">IFERROR(__xludf.DUMMYFUNCTION("""COMPUTED_VALUE"""),44122121)</f>
        <v>44122121</v>
      </c>
      <c r="I79" s="14" t="str">
        <f ca="1">IFERROR(__xludf.DUMMYFUNCTION("""COMPUTED_VALUE"""),"Jernbanegade 26")</f>
        <v>Jernbanegade 26</v>
      </c>
      <c r="J79" s="14">
        <f ca="1">IFERROR(__xludf.DUMMYFUNCTION("""COMPUTED_VALUE"""),3480)</f>
        <v>3480</v>
      </c>
      <c r="K79" s="14" t="str">
        <f ca="1">IFERROR(__xludf.DUMMYFUNCTION("""COMPUTED_VALUE"""),"Fredensborg")</f>
        <v>Fredensborg</v>
      </c>
      <c r="L79" s="14" t="str">
        <f ca="1">IFERROR(__xludf.DUMMYFUNCTION("""COMPUTED_VALUE"""),"Fredensborg")</f>
        <v>Fredensborg</v>
      </c>
      <c r="M79" s="14" t="str">
        <f ca="1">IFERROR(__xludf.DUMMYFUNCTION("""COMPUTED_VALUE"""),"Nordsjælland")</f>
        <v>Nordsjælland</v>
      </c>
      <c r="N79" s="14" t="str">
        <f ca="1">IFERROR(__xludf.DUMMYFUNCTION("""COMPUTED_VALUE"""),"Hovedstaden")</f>
        <v>Hovedstaden</v>
      </c>
      <c r="O79" s="14" t="str">
        <f ca="1">IFERROR(__xludf.DUMMYFUNCTION("""COMPUTED_VALUE"""),"73 70 78 50")</f>
        <v>73 70 78 50</v>
      </c>
      <c r="P79" s="14" t="str">
        <f ca="1">IFERROR(__xludf.DUMMYFUNCTION("""COMPUTED_VALUE"""),"kontakt@vlasman.dk")</f>
        <v>kontakt@vlasman.dk</v>
      </c>
      <c r="Q79" s="15" t="str">
        <f ca="1">IFERROR(__xludf.DUMMYFUNCTION("""COMPUTED_VALUE"""),"https://www.boliga.dk/maegler/29119")</f>
        <v>https://www.boliga.dk/maegler/29119</v>
      </c>
      <c r="R79" s="14"/>
      <c r="S79" s="14"/>
      <c r="T79" s="14"/>
      <c r="U79" s="14"/>
      <c r="V79" s="14"/>
      <c r="W79" s="14"/>
      <c r="X79" s="14"/>
      <c r="Y79" s="14" t="str">
        <f ca="1">IFERROR(__xludf.DUMMYFUNCTION("""COMPUTED_VALUE"""),"ja")</f>
        <v>ja</v>
      </c>
      <c r="Z79" s="14"/>
      <c r="AA79" s="14"/>
      <c r="AB79" s="14" t="str">
        <f ca="1">IFERROR(__xludf.DUMMYFUNCTION("""COMPUTED_VALUE"""),"x")</f>
        <v>x</v>
      </c>
      <c r="AC79" s="14" t="str">
        <f ca="1">IFERROR(__xludf.DUMMYFUNCTION("""COMPUTED_VALUE"""),"x")</f>
        <v>x</v>
      </c>
    </row>
    <row r="80" spans="1:29" ht="12.5" x14ac:dyDescent="0.25">
      <c r="A80" s="14" t="str">
        <f ca="1">IFERROR(__xludf.DUMMYFUNCTION("""COMPUTED_VALUE"""),"Camilla")</f>
        <v>Camilla</v>
      </c>
      <c r="B80" s="14" t="str">
        <f ca="1">IFERROR(__xludf.DUMMYFUNCTION("""COMPUTED_VALUE"""),"place2live Hillerød")</f>
        <v>place2live Hillerød</v>
      </c>
      <c r="C80" s="14">
        <f ca="1">IFERROR(__xludf.DUMMYFUNCTION("""COMPUTED_VALUE"""),36039868)</f>
        <v>36039868</v>
      </c>
      <c r="D80" s="14" t="str">
        <f ca="1">IFERROR(__xludf.DUMMYFUNCTION("""COMPUTED_VALUE"""),"MG-SJ: 3.499,-")</f>
        <v>MG-SJ: 3.499,-</v>
      </c>
      <c r="E80" s="14">
        <f ca="1">IFERROR(__xludf.DUMMYFUNCTION("""COMPUTED_VALUE"""),1202)</f>
        <v>1202</v>
      </c>
      <c r="F80" s="14" t="str">
        <f ca="1">IFERROR(__xludf.DUMMYFUNCTION("""COMPUTED_VALUE"""),"Henrik Høegh")</f>
        <v>Henrik Høegh</v>
      </c>
      <c r="G80" s="14" t="str">
        <f ca="1">IFERROR(__xludf.DUMMYFUNCTION("""COMPUTED_VALUE"""),"hh@place2live.dk")</f>
        <v>hh@place2live.dk</v>
      </c>
      <c r="H80" s="14">
        <f ca="1">IFERROR(__xludf.DUMMYFUNCTION("""COMPUTED_VALUE"""),40745200)</f>
        <v>40745200</v>
      </c>
      <c r="I80" s="14" t="str">
        <f ca="1">IFERROR(__xludf.DUMMYFUNCTION("""COMPUTED_VALUE"""),"Københavnsvej 2")</f>
        <v>Københavnsvej 2</v>
      </c>
      <c r="J80" s="14">
        <f ca="1">IFERROR(__xludf.DUMMYFUNCTION("""COMPUTED_VALUE"""),3400)</f>
        <v>3400</v>
      </c>
      <c r="K80" s="14" t="str">
        <f ca="1">IFERROR(__xludf.DUMMYFUNCTION("""COMPUTED_VALUE"""),"Hillerød")</f>
        <v>Hillerød</v>
      </c>
      <c r="L80" s="14" t="str">
        <f ca="1">IFERROR(__xludf.DUMMYFUNCTION("""COMPUTED_VALUE"""),"Hillerød")</f>
        <v>Hillerød</v>
      </c>
      <c r="M80" s="14" t="str">
        <f ca="1">IFERROR(__xludf.DUMMYFUNCTION("""COMPUTED_VALUE"""),"Nordsjælland")</f>
        <v>Nordsjælland</v>
      </c>
      <c r="N80" s="14" t="str">
        <f ca="1">IFERROR(__xludf.DUMMYFUNCTION("""COMPUTED_VALUE"""),"Hovedstaden")</f>
        <v>Hovedstaden</v>
      </c>
      <c r="O80" s="14">
        <f ca="1">IFERROR(__xludf.DUMMYFUNCTION("""COMPUTED_VALUE"""),48203040)</f>
        <v>48203040</v>
      </c>
      <c r="P80" s="14" t="str">
        <f ca="1">IFERROR(__xludf.DUMMYFUNCTION("""COMPUTED_VALUE"""),"info@place2live.dk")</f>
        <v>info@place2live.dk</v>
      </c>
      <c r="Q80" s="15" t="str">
        <f ca="1">IFERROR(__xludf.DUMMYFUNCTION("""COMPUTED_VALUE"""),"https://www.boliga.dk/maegler/26586")</f>
        <v>https://www.boliga.dk/maegler/26586</v>
      </c>
      <c r="R80" s="14" t="str">
        <f ca="1">IFERROR(__xludf.DUMMYFUNCTION("""COMPUTED_VALUE"""),"-")</f>
        <v>-</v>
      </c>
      <c r="S80" s="14" t="str">
        <f ca="1">IFERROR(__xludf.DUMMYFUNCTION("""COMPUTED_VALUE"""),"-")</f>
        <v>-</v>
      </c>
      <c r="T80" s="14" t="str">
        <f ca="1">IFERROR(__xludf.DUMMYFUNCTION("""COMPUTED_VALUE"""),"-")</f>
        <v>-</v>
      </c>
      <c r="U80" s="14">
        <f ca="1">IFERROR(__xludf.DUMMYFUNCTION("""COMPUTED_VALUE"""),58)</f>
        <v>58</v>
      </c>
      <c r="V80" s="14" t="str">
        <f ca="1">IFERROR(__xludf.DUMMYFUNCTION("""COMPUTED_VALUE"""),"2970, 3220, 3300, 3200, 3370, 3210, 3390, 3310, 3400, 3250")</f>
        <v>2970, 3220, 3300, 3200, 3370, 3210, 3390, 3310, 3400, 3250</v>
      </c>
      <c r="W80" s="14">
        <f ca="1">IFERROR(__xludf.DUMMYFUNCTION("""COMPUTED_VALUE"""),84)</f>
        <v>84</v>
      </c>
      <c r="X80" s="14" t="str">
        <f ca="1">IFERROR(__xludf.DUMMYFUNCTION("""COMPUTED_VALUE"""),"3300, 3050, 2970, 3200, 3330, 3120, 3370, 3230, 3400, 3310, 3480, 3210, 3320, 3250, 6094, 7000, 3550")</f>
        <v>3300, 3050, 2970, 3200, 3330, 3120, 3370, 3230, 3400, 3310, 3480, 3210, 3320, 3250, 6094, 7000, 3550</v>
      </c>
      <c r="Y80" s="14" t="str">
        <f ca="1">IFERROR(__xludf.DUMMYFUNCTION("""COMPUTED_VALUE"""),"ja")</f>
        <v>ja</v>
      </c>
      <c r="Z80" s="14"/>
      <c r="AA80" s="14"/>
      <c r="AB80" s="14" t="str">
        <f ca="1">IFERROR(__xludf.DUMMYFUNCTION("""COMPUTED_VALUE"""),"x")</f>
        <v>x</v>
      </c>
      <c r="AC80" s="14" t="str">
        <f ca="1">IFERROR(__xludf.DUMMYFUNCTION("""COMPUTED_VALUE"""),"x")</f>
        <v>x</v>
      </c>
    </row>
    <row r="81" spans="1:29" ht="12.5" x14ac:dyDescent="0.25">
      <c r="A81" s="14" t="str">
        <f ca="1">IFERROR(__xludf.DUMMYFUNCTION("""COMPUTED_VALUE"""),"Camilla")</f>
        <v>Camilla</v>
      </c>
      <c r="B81" s="14" t="str">
        <f ca="1">IFERROR(__xludf.DUMMYFUNCTION("""COMPUTED_VALUE"""),"place2live Gribskov")</f>
        <v>place2live Gribskov</v>
      </c>
      <c r="C81" s="14">
        <f ca="1">IFERROR(__xludf.DUMMYFUNCTION("""COMPUTED_VALUE"""),38139584)</f>
        <v>38139584</v>
      </c>
      <c r="D81" s="14" t="str">
        <f ca="1">IFERROR(__xludf.DUMMYFUNCTION("""COMPUTED_VALUE"""),"MG-SJ: 3.499,-")</f>
        <v>MG-SJ: 3.499,-</v>
      </c>
      <c r="E81" s="14">
        <f ca="1">IFERROR(__xludf.DUMMYFUNCTION("""COMPUTED_VALUE"""),1202)</f>
        <v>1202</v>
      </c>
      <c r="F81" s="14" t="str">
        <f ca="1">IFERROR(__xludf.DUMMYFUNCTION("""COMPUTED_VALUE"""),"Henrik Høegh")</f>
        <v>Henrik Høegh</v>
      </c>
      <c r="G81" s="14" t="str">
        <f ca="1">IFERROR(__xludf.DUMMYFUNCTION("""COMPUTED_VALUE"""),"hh@place2live.dk")</f>
        <v>hh@place2live.dk</v>
      </c>
      <c r="H81" s="14">
        <f ca="1">IFERROR(__xludf.DUMMYFUNCTION("""COMPUTED_VALUE"""),40745200)</f>
        <v>40745200</v>
      </c>
      <c r="I81" s="14" t="str">
        <f ca="1">IFERROR(__xludf.DUMMYFUNCTION("""COMPUTED_VALUE"""),"Københavnsvej 2")</f>
        <v>Københavnsvej 2</v>
      </c>
      <c r="J81" s="14">
        <f ca="1">IFERROR(__xludf.DUMMYFUNCTION("""COMPUTED_VALUE"""),3400)</f>
        <v>3400</v>
      </c>
      <c r="K81" s="14" t="str">
        <f ca="1">IFERROR(__xludf.DUMMYFUNCTION("""COMPUTED_VALUE"""),"Hillerød")</f>
        <v>Hillerød</v>
      </c>
      <c r="L81" s="14" t="str">
        <f ca="1">IFERROR(__xludf.DUMMYFUNCTION("""COMPUTED_VALUE"""),"Hillerød")</f>
        <v>Hillerød</v>
      </c>
      <c r="M81" s="14" t="str">
        <f ca="1">IFERROR(__xludf.DUMMYFUNCTION("""COMPUTED_VALUE"""),"Nordsjælland")</f>
        <v>Nordsjælland</v>
      </c>
      <c r="N81" s="14" t="str">
        <f ca="1">IFERROR(__xludf.DUMMYFUNCTION("""COMPUTED_VALUE"""),"Hovedstaden")</f>
        <v>Hovedstaden</v>
      </c>
      <c r="O81" s="14">
        <f ca="1">IFERROR(__xludf.DUMMYFUNCTION("""COMPUTED_VALUE"""),48203040)</f>
        <v>48203040</v>
      </c>
      <c r="P81" s="14" t="str">
        <f ca="1">IFERROR(__xludf.DUMMYFUNCTION("""COMPUTED_VALUE"""),"info@place2live.dk")</f>
        <v>info@place2live.dk</v>
      </c>
      <c r="Q81" s="15" t="str">
        <f ca="1">IFERROR(__xludf.DUMMYFUNCTION("""COMPUTED_VALUE"""),"https://www.boliga.dk/maegler/26586")</f>
        <v>https://www.boliga.dk/maegler/26586</v>
      </c>
      <c r="R81" s="14" t="str">
        <f ca="1">IFERROR(__xludf.DUMMYFUNCTION("""COMPUTED_VALUE"""),"-")</f>
        <v>-</v>
      </c>
      <c r="S81" s="14" t="str">
        <f ca="1">IFERROR(__xludf.DUMMYFUNCTION("""COMPUTED_VALUE"""),"-")</f>
        <v>-</v>
      </c>
      <c r="T81" s="14" t="str">
        <f ca="1">IFERROR(__xludf.DUMMYFUNCTION("""COMPUTED_VALUE"""),"-")</f>
        <v>-</v>
      </c>
      <c r="U81" s="14">
        <f ca="1">IFERROR(__xludf.DUMMYFUNCTION("""COMPUTED_VALUE"""),58)</f>
        <v>58</v>
      </c>
      <c r="V81" s="14" t="str">
        <f ca="1">IFERROR(__xludf.DUMMYFUNCTION("""COMPUTED_VALUE"""),"2970, 3220, 3300, 3200, 3370, 3210, 3390, 3310, 3400, 3250")</f>
        <v>2970, 3220, 3300, 3200, 3370, 3210, 3390, 3310, 3400, 3250</v>
      </c>
      <c r="W81" s="14">
        <f ca="1">IFERROR(__xludf.DUMMYFUNCTION("""COMPUTED_VALUE"""),84)</f>
        <v>84</v>
      </c>
      <c r="X81" s="14" t="str">
        <f ca="1">IFERROR(__xludf.DUMMYFUNCTION("""COMPUTED_VALUE"""),"3300, 3050, 2970, 3200, 3330, 3120, 3370, 3230, 3400, 3310, 3480, 3210, 3320, 3250, 6094, 7000, 3550")</f>
        <v>3300, 3050, 2970, 3200, 3330, 3120, 3370, 3230, 3400, 3310, 3480, 3210, 3320, 3250, 6094, 7000, 3550</v>
      </c>
      <c r="Y81" s="14" t="str">
        <f ca="1">IFERROR(__xludf.DUMMYFUNCTION("""COMPUTED_VALUE"""),"ja")</f>
        <v>ja</v>
      </c>
      <c r="Z81" s="14"/>
      <c r="AA81" s="14"/>
      <c r="AB81" s="14" t="str">
        <f ca="1">IFERROR(__xludf.DUMMYFUNCTION("""COMPUTED_VALUE"""),"x")</f>
        <v>x</v>
      </c>
      <c r="AC81" s="14" t="str">
        <f ca="1">IFERROR(__xludf.DUMMYFUNCTION("""COMPUTED_VALUE"""),"x")</f>
        <v>x</v>
      </c>
    </row>
    <row r="82" spans="1:29" ht="12.5" x14ac:dyDescent="0.25">
      <c r="A82" s="14" t="str">
        <f ca="1">IFERROR(__xludf.DUMMYFUNCTION("""COMPUTED_VALUE"""),"Camilla")</f>
        <v>Camilla</v>
      </c>
      <c r="B82" s="14" t="str">
        <f ca="1">IFERROR(__xludf.DUMMYFUNCTION("""COMPUTED_VALUE"""),"place2live Halsnæs")</f>
        <v>place2live Halsnæs</v>
      </c>
      <c r="C82" s="14">
        <f ca="1">IFERROR(__xludf.DUMMYFUNCTION("""COMPUTED_VALUE"""),28899769)</f>
        <v>28899769</v>
      </c>
      <c r="D82" s="14" t="str">
        <f ca="1">IFERROR(__xludf.DUMMYFUNCTION("""COMPUTED_VALUE"""),"MG-SJ: 3.499,-")</f>
        <v>MG-SJ: 3.499,-</v>
      </c>
      <c r="E82" s="14">
        <f ca="1">IFERROR(__xludf.DUMMYFUNCTION("""COMPUTED_VALUE"""),1202)</f>
        <v>1202</v>
      </c>
      <c r="F82" s="14" t="str">
        <f ca="1">IFERROR(__xludf.DUMMYFUNCTION("""COMPUTED_VALUE"""),"Henrik Høegh")</f>
        <v>Henrik Høegh</v>
      </c>
      <c r="G82" s="14" t="str">
        <f ca="1">IFERROR(__xludf.DUMMYFUNCTION("""COMPUTED_VALUE"""),"hh@place2live.dk")</f>
        <v>hh@place2live.dk</v>
      </c>
      <c r="H82" s="14">
        <f ca="1">IFERROR(__xludf.DUMMYFUNCTION("""COMPUTED_VALUE"""),40745200)</f>
        <v>40745200</v>
      </c>
      <c r="I82" s="14" t="str">
        <f ca="1">IFERROR(__xludf.DUMMYFUNCTION("""COMPUTED_VALUE"""),"Københavnsvej 2")</f>
        <v>Københavnsvej 2</v>
      </c>
      <c r="J82" s="14">
        <f ca="1">IFERROR(__xludf.DUMMYFUNCTION("""COMPUTED_VALUE"""),3400)</f>
        <v>3400</v>
      </c>
      <c r="K82" s="14" t="str">
        <f ca="1">IFERROR(__xludf.DUMMYFUNCTION("""COMPUTED_VALUE"""),"Hillerød")</f>
        <v>Hillerød</v>
      </c>
      <c r="L82" s="14" t="str">
        <f ca="1">IFERROR(__xludf.DUMMYFUNCTION("""COMPUTED_VALUE"""),"Hillerød")</f>
        <v>Hillerød</v>
      </c>
      <c r="M82" s="14" t="str">
        <f ca="1">IFERROR(__xludf.DUMMYFUNCTION("""COMPUTED_VALUE"""),"Nordsjælland")</f>
        <v>Nordsjælland</v>
      </c>
      <c r="N82" s="14" t="str">
        <f ca="1">IFERROR(__xludf.DUMMYFUNCTION("""COMPUTED_VALUE"""),"Hovedstaden")</f>
        <v>Hovedstaden</v>
      </c>
      <c r="O82" s="14">
        <f ca="1">IFERROR(__xludf.DUMMYFUNCTION("""COMPUTED_VALUE"""),48203040)</f>
        <v>48203040</v>
      </c>
      <c r="P82" s="14" t="str">
        <f ca="1">IFERROR(__xludf.DUMMYFUNCTION("""COMPUTED_VALUE"""),"info@place2live.dk")</f>
        <v>info@place2live.dk</v>
      </c>
      <c r="Q82" s="15" t="str">
        <f ca="1">IFERROR(__xludf.DUMMYFUNCTION("""COMPUTED_VALUE"""),"https://www.boliga.dk/maegler/26586")</f>
        <v>https://www.boliga.dk/maegler/26586</v>
      </c>
      <c r="R82" s="14" t="str">
        <f ca="1">IFERROR(__xludf.DUMMYFUNCTION("""COMPUTED_VALUE"""),"-")</f>
        <v>-</v>
      </c>
      <c r="S82" s="14" t="str">
        <f ca="1">IFERROR(__xludf.DUMMYFUNCTION("""COMPUTED_VALUE"""),"-")</f>
        <v>-</v>
      </c>
      <c r="T82" s="14" t="str">
        <f ca="1">IFERROR(__xludf.DUMMYFUNCTION("""COMPUTED_VALUE"""),"-")</f>
        <v>-</v>
      </c>
      <c r="U82" s="14">
        <f ca="1">IFERROR(__xludf.DUMMYFUNCTION("""COMPUTED_VALUE"""),58)</f>
        <v>58</v>
      </c>
      <c r="V82" s="14" t="str">
        <f ca="1">IFERROR(__xludf.DUMMYFUNCTION("""COMPUTED_VALUE"""),"2970, 3220, 3300, 3200, 3370, 3210, 3390, 3310, 3400, 3250")</f>
        <v>2970, 3220, 3300, 3200, 3370, 3210, 3390, 3310, 3400, 3250</v>
      </c>
      <c r="W82" s="14">
        <f ca="1">IFERROR(__xludf.DUMMYFUNCTION("""COMPUTED_VALUE"""),84)</f>
        <v>84</v>
      </c>
      <c r="X82" s="14" t="str">
        <f ca="1">IFERROR(__xludf.DUMMYFUNCTION("""COMPUTED_VALUE"""),"3300, 3050, 2970, 3200, 3330, 3120, 3370, 3230, 3400, 3310, 3480, 3210, 3320, 3250, 6094, 7000, 3550")</f>
        <v>3300, 3050, 2970, 3200, 3330, 3120, 3370, 3230, 3400, 3310, 3480, 3210, 3320, 3250, 6094, 7000, 3550</v>
      </c>
      <c r="Y82" s="14" t="str">
        <f ca="1">IFERROR(__xludf.DUMMYFUNCTION("""COMPUTED_VALUE"""),"ja")</f>
        <v>ja</v>
      </c>
      <c r="Z82" s="14"/>
      <c r="AA82" s="14"/>
      <c r="AB82" s="14" t="str">
        <f ca="1">IFERROR(__xludf.DUMMYFUNCTION("""COMPUTED_VALUE"""),"x")</f>
        <v>x</v>
      </c>
      <c r="AC82" s="14" t="str">
        <f ca="1">IFERROR(__xludf.DUMMYFUNCTION("""COMPUTED_VALUE"""),"x")</f>
        <v>x</v>
      </c>
    </row>
    <row r="83" spans="1:29" ht="12.5" x14ac:dyDescent="0.25">
      <c r="A83" s="14" t="str">
        <f ca="1">IFERROR(__xludf.DUMMYFUNCTION("""COMPUTED_VALUE"""),"Camilla")</f>
        <v>Camilla</v>
      </c>
      <c r="B83" s="14" t="str">
        <f ca="1">IFERROR(__xludf.DUMMYFUNCTION("""COMPUTED_VALUE"""),"Property Advisers")</f>
        <v>Property Advisers</v>
      </c>
      <c r="C83" s="14">
        <f ca="1">IFERROR(__xludf.DUMMYFUNCTION("""COMPUTED_VALUE"""),36419458)</f>
        <v>36419458</v>
      </c>
      <c r="D83" s="14" t="str">
        <f ca="1">IFERROR(__xludf.DUMMYFUNCTION("""COMPUTED_VALUE"""),"MG-SJ: 3.499,-")</f>
        <v>MG-SJ: 3.499,-</v>
      </c>
      <c r="E83" s="14">
        <f ca="1">IFERROR(__xludf.DUMMYFUNCTION("""COMPUTED_VALUE"""),1202)</f>
        <v>1202</v>
      </c>
      <c r="F83" s="14" t="str">
        <f ca="1">IFERROR(__xludf.DUMMYFUNCTION("""COMPUTED_VALUE"""),"Nicolai Karhof")</f>
        <v>Nicolai Karhof</v>
      </c>
      <c r="G83" s="14" t="str">
        <f ca="1">IFERROR(__xludf.DUMMYFUNCTION("""COMPUTED_VALUE"""),"nicolai@proad.dk")</f>
        <v>nicolai@proad.dk</v>
      </c>
      <c r="H83" s="14">
        <f ca="1">IFERROR(__xludf.DUMMYFUNCTION("""COMPUTED_VALUE"""),20376023)</f>
        <v>20376023</v>
      </c>
      <c r="I83" s="14" t="str">
        <f ca="1">IFERROR(__xludf.DUMMYFUNCTION("""COMPUTED_VALUE"""),"Smallegade 54, 1.")</f>
        <v>Smallegade 54, 1.</v>
      </c>
      <c r="J83" s="14">
        <f ca="1">IFERROR(__xludf.DUMMYFUNCTION("""COMPUTED_VALUE"""),2000)</f>
        <v>2000</v>
      </c>
      <c r="K83" s="14" t="str">
        <f ca="1">IFERROR(__xludf.DUMMYFUNCTION("""COMPUTED_VALUE"""),"Frederiksberg")</f>
        <v>Frederiksberg</v>
      </c>
      <c r="L83" s="14" t="str">
        <f ca="1">IFERROR(__xludf.DUMMYFUNCTION("""COMPUTED_VALUE"""),"Frederiksberg")</f>
        <v>Frederiksberg</v>
      </c>
      <c r="M83" s="14" t="str">
        <f ca="1">IFERROR(__xludf.DUMMYFUNCTION("""COMPUTED_VALUE"""),"København By")</f>
        <v>København By</v>
      </c>
      <c r="N83" s="14" t="str">
        <f ca="1">IFERROR(__xludf.DUMMYFUNCTION("""COMPUTED_VALUE"""),"Hovedstaden")</f>
        <v>Hovedstaden</v>
      </c>
      <c r="O83" s="14">
        <f ca="1">IFERROR(__xludf.DUMMYFUNCTION("""COMPUTED_VALUE"""),38337700)</f>
        <v>38337700</v>
      </c>
      <c r="P83" s="14" t="str">
        <f ca="1">IFERROR(__xludf.DUMMYFUNCTION("""COMPUTED_VALUE"""),"info@proad.dk")</f>
        <v>info@proad.dk</v>
      </c>
      <c r="Q83" s="15" t="str">
        <f ca="1">IFERROR(__xludf.DUMMYFUNCTION("""COMPUTED_VALUE"""),"https://www.boliga.dk/maegler/26974")</f>
        <v>https://www.boliga.dk/maegler/26974</v>
      </c>
      <c r="R83" s="14" t="str">
        <f ca="1">IFERROR(__xludf.DUMMYFUNCTION("""COMPUTED_VALUE"""),"-")</f>
        <v>-</v>
      </c>
      <c r="S83" s="14" t="str">
        <f ca="1">IFERROR(__xludf.DUMMYFUNCTION("""COMPUTED_VALUE"""),"-")</f>
        <v>-</v>
      </c>
      <c r="T83" s="14" t="str">
        <f ca="1">IFERROR(__xludf.DUMMYFUNCTION("""COMPUTED_VALUE"""),"-")</f>
        <v>-</v>
      </c>
      <c r="U83" s="14">
        <f ca="1">IFERROR(__xludf.DUMMYFUNCTION("""COMPUTED_VALUE"""),1)</f>
        <v>1</v>
      </c>
      <c r="V83" s="14">
        <f ca="1">IFERROR(__xludf.DUMMYFUNCTION("""COMPUTED_VALUE"""),4700)</f>
        <v>4700</v>
      </c>
      <c r="W83" s="14">
        <f ca="1">IFERROR(__xludf.DUMMYFUNCTION("""COMPUTED_VALUE"""),7)</f>
        <v>7</v>
      </c>
      <c r="X83" s="14" t="str">
        <f ca="1">IFERROR(__xludf.DUMMYFUNCTION("""COMPUTED_VALUE"""),"4681, 4000, 4735, 6000")</f>
        <v>4681, 4000, 4735, 6000</v>
      </c>
      <c r="Y83" s="14" t="str">
        <f ca="1">IFERROR(__xludf.DUMMYFUNCTION("""COMPUTED_VALUE"""),"ja")</f>
        <v>ja</v>
      </c>
      <c r="Z83" s="14"/>
      <c r="AA83" s="14"/>
      <c r="AB83" s="14" t="str">
        <f ca="1">IFERROR(__xludf.DUMMYFUNCTION("""COMPUTED_VALUE"""),"x")</f>
        <v>x</v>
      </c>
      <c r="AC83" s="14" t="str">
        <f ca="1">IFERROR(__xludf.DUMMYFUNCTION("""COMPUTED_VALUE"""),"x")</f>
        <v>x</v>
      </c>
    </row>
    <row r="84" spans="1:29" ht="12.5" x14ac:dyDescent="0.25">
      <c r="A84" s="14" t="str">
        <f ca="1">IFERROR(__xludf.DUMMYFUNCTION("""COMPUTED_VALUE"""),"Camilla")</f>
        <v>Camilla</v>
      </c>
      <c r="B84" s="14" t="str">
        <f ca="1">IFERROR(__xludf.DUMMYFUNCTION("""COMPUTED_VALUE"""),"Karhof Bolig og Erhverv ")</f>
        <v xml:space="preserve">Karhof Bolig og Erhverv </v>
      </c>
      <c r="C84" s="14">
        <f ca="1">IFERROR(__xludf.DUMMYFUNCTION("""COMPUTED_VALUE"""),42533734)</f>
        <v>42533734</v>
      </c>
      <c r="D84" s="14" t="str">
        <f ca="1">IFERROR(__xludf.DUMMYFUNCTION("""COMPUTED_VALUE"""),"MG-SJ: 3.499,-")</f>
        <v>MG-SJ: 3.499,-</v>
      </c>
      <c r="E84" s="14">
        <f ca="1">IFERROR(__xludf.DUMMYFUNCTION("""COMPUTED_VALUE"""),1202)</f>
        <v>1202</v>
      </c>
      <c r="F84" s="14" t="str">
        <f ca="1">IFERROR(__xludf.DUMMYFUNCTION("""COMPUTED_VALUE"""),"Nicolai Karhof")</f>
        <v>Nicolai Karhof</v>
      </c>
      <c r="G84" s="15" t="str">
        <f ca="1">IFERROR(__xludf.DUMMYFUNCTION("""COMPUTED_VALUE"""),"nicolai@karhofbolig.dk")</f>
        <v>nicolai@karhofbolig.dk</v>
      </c>
      <c r="H84" s="14">
        <f ca="1">IFERROR(__xludf.DUMMYFUNCTION("""COMPUTED_VALUE"""),20376023)</f>
        <v>20376023</v>
      </c>
      <c r="I84" s="14"/>
      <c r="J84" s="14">
        <f ca="1">IFERROR(__xludf.DUMMYFUNCTION("""COMPUTED_VALUE"""),4000)</f>
        <v>4000</v>
      </c>
      <c r="K84" s="14" t="str">
        <f ca="1">IFERROR(__xludf.DUMMYFUNCTION("""COMPUTED_VALUE"""),"Roskilde")</f>
        <v>Roskilde</v>
      </c>
      <c r="L84" s="14"/>
      <c r="M84" s="14"/>
      <c r="N84" s="14"/>
      <c r="O84" s="14"/>
      <c r="P84" s="14"/>
      <c r="Q84" s="15" t="str">
        <f ca="1">IFERROR(__xludf.DUMMYFUNCTION("""COMPUTED_VALUE"""),"https://www.boliga.dk/maegler/29097")</f>
        <v>https://www.boliga.dk/maegler/29097</v>
      </c>
      <c r="R84" s="14"/>
      <c r="S84" s="14"/>
      <c r="T84" s="14"/>
      <c r="U84" s="14"/>
      <c r="V84" s="14"/>
      <c r="W84" s="14"/>
      <c r="X84" s="14"/>
      <c r="Y84" s="14" t="str">
        <f ca="1">IFERROR(__xludf.DUMMYFUNCTION("""COMPUTED_VALUE"""),"ja")</f>
        <v>ja</v>
      </c>
      <c r="Z84" s="14"/>
      <c r="AA84" s="14"/>
      <c r="AB84" s="14" t="str">
        <f ca="1">IFERROR(__xludf.DUMMYFUNCTION("""COMPUTED_VALUE"""),"x")</f>
        <v>x</v>
      </c>
      <c r="AC84" s="14" t="str">
        <f ca="1">IFERROR(__xludf.DUMMYFUNCTION("""COMPUTED_VALUE"""),"x")</f>
        <v>x</v>
      </c>
    </row>
    <row r="85" spans="1:29" ht="12.5" x14ac:dyDescent="0.25">
      <c r="A85" s="14" t="str">
        <f ca="1">IFERROR(__xludf.DUMMYFUNCTION("""COMPUTED_VALUE"""),"Camilla")</f>
        <v>Camilla</v>
      </c>
      <c r="B85" s="14" t="str">
        <f ca="1">IFERROR(__xludf.DUMMYFUNCTION("""COMPUTED_VALUE"""),"Robinhus Rico Juhl")</f>
        <v>Robinhus Rico Juhl</v>
      </c>
      <c r="C85" s="14">
        <f ca="1">IFERROR(__xludf.DUMMYFUNCTION("""COMPUTED_VALUE"""),38727559)</f>
        <v>38727559</v>
      </c>
      <c r="D85" s="14" t="str">
        <f ca="1">IFERROR(__xludf.DUMMYFUNCTION("""COMPUTED_VALUE"""),"MG-SJ: 3.499,-")</f>
        <v>MG-SJ: 3.499,-</v>
      </c>
      <c r="E85" s="14">
        <f ca="1">IFERROR(__xludf.DUMMYFUNCTION("""COMPUTED_VALUE"""),1202)</f>
        <v>1202</v>
      </c>
      <c r="F85" s="14" t="str">
        <f ca="1">IFERROR(__xludf.DUMMYFUNCTION("""COMPUTED_VALUE"""),"Rico Juhl")</f>
        <v>Rico Juhl</v>
      </c>
      <c r="G85" s="14" t="str">
        <f ca="1">IFERROR(__xludf.DUMMYFUNCTION("""COMPUTED_VALUE"""),"rj@robinhus.dk")</f>
        <v>rj@robinhus.dk</v>
      </c>
      <c r="H85" s="14">
        <f ca="1">IFERROR(__xludf.DUMMYFUNCTION("""COMPUTED_VALUE"""),61710003)</f>
        <v>61710003</v>
      </c>
      <c r="I85" s="14" t="str">
        <f ca="1">IFERROR(__xludf.DUMMYFUNCTION("""COMPUTED_VALUE"""),"Peder Hjorts Vej 11, st th")</f>
        <v>Peder Hjorts Vej 11, st th</v>
      </c>
      <c r="J85" s="14">
        <f ca="1">IFERROR(__xludf.DUMMYFUNCTION("""COMPUTED_VALUE"""),2500)</f>
        <v>2500</v>
      </c>
      <c r="K85" s="14" t="str">
        <f ca="1">IFERROR(__xludf.DUMMYFUNCTION("""COMPUTED_VALUE"""),"Valby")</f>
        <v>Valby</v>
      </c>
      <c r="L85" s="14" t="str">
        <f ca="1">IFERROR(__xludf.DUMMYFUNCTION("""COMPUTED_VALUE"""),"København")</f>
        <v>København</v>
      </c>
      <c r="M85" s="14" t="str">
        <f ca="1">IFERROR(__xludf.DUMMYFUNCTION("""COMPUTED_VALUE"""),"København By")</f>
        <v>København By</v>
      </c>
      <c r="N85" s="14" t="str">
        <f ca="1">IFERROR(__xludf.DUMMYFUNCTION("""COMPUTED_VALUE"""),"Hovedstaden")</f>
        <v>Hovedstaden</v>
      </c>
      <c r="O85" s="14">
        <f ca="1">IFERROR(__xludf.DUMMYFUNCTION("""COMPUTED_VALUE"""),61710003)</f>
        <v>61710003</v>
      </c>
      <c r="P85" s="14" t="str">
        <f ca="1">IFERROR(__xludf.DUMMYFUNCTION("""COMPUTED_VALUE"""),"rj@robinhus.dk")</f>
        <v>rj@robinhus.dk</v>
      </c>
      <c r="Q85" s="15" t="str">
        <f ca="1">IFERROR(__xludf.DUMMYFUNCTION("""COMPUTED_VALUE"""),"https://www.boliga.dk/maegler/27549")</f>
        <v>https://www.boliga.dk/maegler/27549</v>
      </c>
      <c r="R85" s="14" t="str">
        <f ca="1">IFERROR(__xludf.DUMMYFUNCTION("""COMPUTED_VALUE"""),"-")</f>
        <v>-</v>
      </c>
      <c r="S85" s="14" t="str">
        <f ca="1">IFERROR(__xludf.DUMMYFUNCTION("""COMPUTED_VALUE"""),"-")</f>
        <v>-</v>
      </c>
      <c r="T85" s="14" t="str">
        <f ca="1">IFERROR(__xludf.DUMMYFUNCTION("""COMPUTED_VALUE"""),"-")</f>
        <v>-</v>
      </c>
      <c r="U85" s="14">
        <f ca="1">IFERROR(__xludf.DUMMYFUNCTION("""COMPUTED_VALUE"""),6)</f>
        <v>6</v>
      </c>
      <c r="V85" s="14" t="str">
        <f ca="1">IFERROR(__xludf.DUMMYFUNCTION("""COMPUTED_VALUE"""),"4653, 2450, 2610, 2900, 2860, 2660")</f>
        <v>4653, 2450, 2610, 2900, 2860, 2660</v>
      </c>
      <c r="W85" s="14">
        <f ca="1">IFERROR(__xludf.DUMMYFUNCTION("""COMPUTED_VALUE"""),4)</f>
        <v>4</v>
      </c>
      <c r="X85" s="14" t="str">
        <f ca="1">IFERROR(__xludf.DUMMYFUNCTION("""COMPUTED_VALUE"""),"4573, 2500")</f>
        <v>4573, 2500</v>
      </c>
      <c r="Y85" s="14" t="str">
        <f ca="1">IFERROR(__xludf.DUMMYFUNCTION("""COMPUTED_VALUE"""),"ja")</f>
        <v>ja</v>
      </c>
      <c r="Z85" s="14"/>
      <c r="AA85" s="14"/>
      <c r="AB85" s="14" t="str">
        <f ca="1">IFERROR(__xludf.DUMMYFUNCTION("""COMPUTED_VALUE"""),"x")</f>
        <v>x</v>
      </c>
      <c r="AC85" s="14" t="str">
        <f ca="1">IFERROR(__xludf.DUMMYFUNCTION("""COMPUTED_VALUE"""),"x")</f>
        <v>x</v>
      </c>
    </row>
    <row r="86" spans="1:29" ht="12.5" x14ac:dyDescent="0.25">
      <c r="A86" s="14" t="str">
        <f ca="1">IFERROR(__xludf.DUMMYFUNCTION("""COMPUTED_VALUE"""),"Camilla")</f>
        <v>Camilla</v>
      </c>
      <c r="B86" s="14" t="str">
        <f ca="1">IFERROR(__xludf.DUMMYFUNCTION("""COMPUTED_VALUE"""),"Schultz Boliger")</f>
        <v>Schultz Boliger</v>
      </c>
      <c r="C86" s="14">
        <f ca="1">IFERROR(__xludf.DUMMYFUNCTION("""COMPUTED_VALUE"""),28848854)</f>
        <v>28848854</v>
      </c>
      <c r="D86" s="14" t="str">
        <f ca="1">IFERROR(__xludf.DUMMYFUNCTION("""COMPUTED_VALUE"""),"MG-SJ: 3.499,-")</f>
        <v>MG-SJ: 3.499,-</v>
      </c>
      <c r="E86" s="14">
        <f ca="1">IFERROR(__xludf.DUMMYFUNCTION("""COMPUTED_VALUE"""),1202)</f>
        <v>1202</v>
      </c>
      <c r="F86" s="14" t="str">
        <f ca="1">IFERROR(__xludf.DUMMYFUNCTION("""COMPUTED_VALUE"""),"Jesper Schultz")</f>
        <v>Jesper Schultz</v>
      </c>
      <c r="G86" s="14" t="str">
        <f ca="1">IFERROR(__xludf.DUMMYFUNCTION("""COMPUTED_VALUE"""),"jesper@schultzboliger.dk")</f>
        <v>jesper@schultzboliger.dk</v>
      </c>
      <c r="H86" s="14">
        <f ca="1">IFERROR(__xludf.DUMMYFUNCTION("""COMPUTED_VALUE"""),39639989)</f>
        <v>39639989</v>
      </c>
      <c r="I86" s="14" t="str">
        <f ca="1">IFERROR(__xludf.DUMMYFUNCTION("""COMPUTED_VALUE"""),"Ordrupvej 38")</f>
        <v>Ordrupvej 38</v>
      </c>
      <c r="J86" s="14">
        <f ca="1">IFERROR(__xludf.DUMMYFUNCTION("""COMPUTED_VALUE"""),2920)</f>
        <v>2920</v>
      </c>
      <c r="K86" s="14" t="str">
        <f ca="1">IFERROR(__xludf.DUMMYFUNCTION("""COMPUTED_VALUE"""),"Charlottenlund")</f>
        <v>Charlottenlund</v>
      </c>
      <c r="L86" s="14" t="str">
        <f ca="1">IFERROR(__xludf.DUMMYFUNCTION("""COMPUTED_VALUE"""),"Gentofte")</f>
        <v>Gentofte</v>
      </c>
      <c r="M86" s="14" t="str">
        <f ca="1">IFERROR(__xludf.DUMMYFUNCTION("""COMPUTED_VALUE"""),"Københavns omegn")</f>
        <v>Københavns omegn</v>
      </c>
      <c r="N86" s="14" t="str">
        <f ca="1">IFERROR(__xludf.DUMMYFUNCTION("""COMPUTED_VALUE"""),"Hovedstaden")</f>
        <v>Hovedstaden</v>
      </c>
      <c r="O86" s="14">
        <f ca="1">IFERROR(__xludf.DUMMYFUNCTION("""COMPUTED_VALUE"""),39639989)</f>
        <v>39639989</v>
      </c>
      <c r="P86" s="14" t="str">
        <f ca="1">IFERROR(__xludf.DUMMYFUNCTION("""COMPUTED_VALUE"""),"info@schultzboliger.dk")</f>
        <v>info@schultzboliger.dk</v>
      </c>
      <c r="Q86" s="15" t="str">
        <f ca="1">IFERROR(__xludf.DUMMYFUNCTION("""COMPUTED_VALUE"""),"https://www.boliga.dk/maegler/883")</f>
        <v>https://www.boliga.dk/maegler/883</v>
      </c>
      <c r="R86" s="14" t="str">
        <f ca="1">IFERROR(__xludf.DUMMYFUNCTION("""COMPUTED_VALUE"""),"-")</f>
        <v>-</v>
      </c>
      <c r="S86" s="14" t="str">
        <f ca="1">IFERROR(__xludf.DUMMYFUNCTION("""COMPUTED_VALUE"""),"-")</f>
        <v>-</v>
      </c>
      <c r="T86" s="14" t="str">
        <f ca="1">IFERROR(__xludf.DUMMYFUNCTION("""COMPUTED_VALUE"""),"-")</f>
        <v>-</v>
      </c>
      <c r="U86" s="14">
        <f ca="1">IFERROR(__xludf.DUMMYFUNCTION("""COMPUTED_VALUE"""),7)</f>
        <v>7</v>
      </c>
      <c r="V86" s="14" t="str">
        <f ca="1">IFERROR(__xludf.DUMMYFUNCTION("""COMPUTED_VALUE"""),"2820, 2920, 2930, 2900")</f>
        <v>2820, 2920, 2930, 2900</v>
      </c>
      <c r="W86" s="14">
        <f ca="1">IFERROR(__xludf.DUMMYFUNCTION("""COMPUTED_VALUE"""),13)</f>
        <v>13</v>
      </c>
      <c r="X86" s="14" t="str">
        <f ca="1">IFERROR(__xludf.DUMMYFUNCTION("""COMPUTED_VALUE"""),"2791, 2920, 2840, 1251, 3140, 2860, 2900, 4871, 2970, 2950, 3300")</f>
        <v>2791, 2920, 2840, 1251, 3140, 2860, 2900, 4871, 2970, 2950, 3300</v>
      </c>
      <c r="Y86" s="14" t="str">
        <f ca="1">IFERROR(__xludf.DUMMYFUNCTION("""COMPUTED_VALUE"""),"ja")</f>
        <v>ja</v>
      </c>
      <c r="Z86" s="14"/>
      <c r="AA86" s="14"/>
      <c r="AB86" s="14" t="str">
        <f ca="1">IFERROR(__xludf.DUMMYFUNCTION("""COMPUTED_VALUE"""),"x")</f>
        <v>x</v>
      </c>
      <c r="AC86" s="14" t="str">
        <f ca="1">IFERROR(__xludf.DUMMYFUNCTION("""COMPUTED_VALUE"""),"x")</f>
        <v>x</v>
      </c>
    </row>
    <row r="87" spans="1:29" ht="12.5" x14ac:dyDescent="0.25">
      <c r="A87" s="14" t="str">
        <f ca="1">IFERROR(__xludf.DUMMYFUNCTION("""COMPUTED_VALUE"""),"Camilla")</f>
        <v>Camilla</v>
      </c>
      <c r="B87" s="14" t="str">
        <f ca="1">IFERROR(__xludf.DUMMYFUNCTION("""COMPUTED_VALUE"""),"Siesbye Kapsch")</f>
        <v>Siesbye Kapsch</v>
      </c>
      <c r="C87" s="14">
        <f ca="1">IFERROR(__xludf.DUMMYFUNCTION("""COMPUTED_VALUE"""),28111606)</f>
        <v>28111606</v>
      </c>
      <c r="D87" s="14" t="str">
        <f ca="1">IFERROR(__xludf.DUMMYFUNCTION("""COMPUTED_VALUE"""),"MG-SJ: 3.499,-")</f>
        <v>MG-SJ: 3.499,-</v>
      </c>
      <c r="E87" s="14">
        <f ca="1">IFERROR(__xludf.DUMMYFUNCTION("""COMPUTED_VALUE"""),1202)</f>
        <v>1202</v>
      </c>
      <c r="F87" s="14" t="str">
        <f ca="1">IFERROR(__xludf.DUMMYFUNCTION("""COMPUTED_VALUE"""),"Phillip Siesbye")</f>
        <v>Phillip Siesbye</v>
      </c>
      <c r="G87" s="14" t="str">
        <f ca="1">IFERROR(__xludf.DUMMYFUNCTION("""COMPUTED_VALUE"""),"ps@skbolig.dk")</f>
        <v>ps@skbolig.dk</v>
      </c>
      <c r="H87" s="14">
        <f ca="1">IFERROR(__xludf.DUMMYFUNCTION("""COMPUTED_VALUE"""),20207788)</f>
        <v>20207788</v>
      </c>
      <c r="I87" s="14" t="str">
        <f ca="1">IFERROR(__xludf.DUMMYFUNCTION("""COMPUTED_VALUE"""),"Bredgade 30")</f>
        <v>Bredgade 30</v>
      </c>
      <c r="J87" s="14">
        <f ca="1">IFERROR(__xludf.DUMMYFUNCTION("""COMPUTED_VALUE"""),1260)</f>
        <v>1260</v>
      </c>
      <c r="K87" s="14" t="str">
        <f ca="1">IFERROR(__xludf.DUMMYFUNCTION("""COMPUTED_VALUE"""),"København K")</f>
        <v>København K</v>
      </c>
      <c r="L87" s="14" t="str">
        <f ca="1">IFERROR(__xludf.DUMMYFUNCTION("""COMPUTED_VALUE"""),"København")</f>
        <v>København</v>
      </c>
      <c r="M87" s="14" t="str">
        <f ca="1">IFERROR(__xludf.DUMMYFUNCTION("""COMPUTED_VALUE"""),"København By")</f>
        <v>København By</v>
      </c>
      <c r="N87" s="14" t="str">
        <f ca="1">IFERROR(__xludf.DUMMYFUNCTION("""COMPUTED_VALUE"""),"Hovedstaden")</f>
        <v>Hovedstaden</v>
      </c>
      <c r="O87" s="14">
        <f ca="1">IFERROR(__xludf.DUMMYFUNCTION("""COMPUTED_VALUE"""),33116622)</f>
        <v>33116622</v>
      </c>
      <c r="P87" s="14" t="str">
        <f ca="1">IFERROR(__xludf.DUMMYFUNCTION("""COMPUTED_VALUE"""),"post@skbolig.dk")</f>
        <v>post@skbolig.dk</v>
      </c>
      <c r="Q87" s="15" t="str">
        <f ca="1">IFERROR(__xludf.DUMMYFUNCTION("""COMPUTED_VALUE"""),"https://www.boliga.dk/maegler/17151")</f>
        <v>https://www.boliga.dk/maegler/17151</v>
      </c>
      <c r="R87" s="14" t="str">
        <f ca="1">IFERROR(__xludf.DUMMYFUNCTION("""COMPUTED_VALUE"""),"-")</f>
        <v>-</v>
      </c>
      <c r="S87" s="14" t="str">
        <f ca="1">IFERROR(__xludf.DUMMYFUNCTION("""COMPUTED_VALUE"""),"-")</f>
        <v>-</v>
      </c>
      <c r="T87" s="14" t="str">
        <f ca="1">IFERROR(__xludf.DUMMYFUNCTION("""COMPUTED_VALUE"""),"-")</f>
        <v>-</v>
      </c>
      <c r="U87" s="14">
        <f ca="1">IFERROR(__xludf.DUMMYFUNCTION("""COMPUTED_VALUE"""),11)</f>
        <v>11</v>
      </c>
      <c r="V87" s="14" t="str">
        <f ca="1">IFERROR(__xludf.DUMMYFUNCTION("""COMPUTED_VALUE"""),"1051, 1052, 1150, 1153, 1112, 2300, 1204, 1468, 2500, 1270, 1577")</f>
        <v>1051, 1052, 1150, 1153, 1112, 2300, 1204, 1468, 2500, 1270, 1577</v>
      </c>
      <c r="W87" s="14">
        <f ca="1">IFERROR(__xludf.DUMMYFUNCTION("""COMPUTED_VALUE"""),8)</f>
        <v>8</v>
      </c>
      <c r="X87" s="14" t="str">
        <f ca="1">IFERROR(__xludf.DUMMYFUNCTION("""COMPUTED_VALUE"""),"1302, 1050, 1154, 1124, 2500, 1151, 1264")</f>
        <v>1302, 1050, 1154, 1124, 2500, 1151, 1264</v>
      </c>
      <c r="Y87" s="14" t="str">
        <f ca="1">IFERROR(__xludf.DUMMYFUNCTION("""COMPUTED_VALUE"""),"ja")</f>
        <v>ja</v>
      </c>
      <c r="Z87" s="14"/>
      <c r="AA87" s="14"/>
      <c r="AB87" s="14" t="str">
        <f ca="1">IFERROR(__xludf.DUMMYFUNCTION("""COMPUTED_VALUE"""),"x")</f>
        <v>x</v>
      </c>
      <c r="AC87" s="14" t="str">
        <f ca="1">IFERROR(__xludf.DUMMYFUNCTION("""COMPUTED_VALUE"""),"x")</f>
        <v>x</v>
      </c>
    </row>
    <row r="88" spans="1:29" ht="12.5" x14ac:dyDescent="0.25">
      <c r="A88" s="14" t="str">
        <f ca="1">IFERROR(__xludf.DUMMYFUNCTION("""COMPUTED_VALUE"""),"Camilla")</f>
        <v>Camilla</v>
      </c>
      <c r="B88" s="14" t="str">
        <f ca="1">IFERROR(__xludf.DUMMYFUNCTION("""COMPUTED_VALUE"""),"Sweet-Homes")</f>
        <v>Sweet-Homes</v>
      </c>
      <c r="C88" s="14">
        <f ca="1">IFERROR(__xludf.DUMMYFUNCTION("""COMPUTED_VALUE"""),37648094)</f>
        <v>37648094</v>
      </c>
      <c r="D88" s="14" t="str">
        <f ca="1">IFERROR(__xludf.DUMMYFUNCTION("""COMPUTED_VALUE"""),"MG-SJ: 3.499,-")</f>
        <v>MG-SJ: 3.499,-</v>
      </c>
      <c r="E88" s="14">
        <f ca="1">IFERROR(__xludf.DUMMYFUNCTION("""COMPUTED_VALUE"""),1202)</f>
        <v>1202</v>
      </c>
      <c r="F88" s="14" t="str">
        <f ca="1">IFERROR(__xludf.DUMMYFUNCTION("""COMPUTED_VALUE"""),"Maria Schlichting")</f>
        <v>Maria Schlichting</v>
      </c>
      <c r="G88" s="14" t="str">
        <f ca="1">IFERROR(__xludf.DUMMYFUNCTION("""COMPUTED_VALUE"""),"ms@sweet-homes.dk")</f>
        <v>ms@sweet-homes.dk</v>
      </c>
      <c r="H88" s="14">
        <f ca="1">IFERROR(__xludf.DUMMYFUNCTION("""COMPUTED_VALUE"""),53762464)</f>
        <v>53762464</v>
      </c>
      <c r="I88" s="14" t="str">
        <f ca="1">IFERROR(__xludf.DUMMYFUNCTION("""COMPUTED_VALUE"""),"Torveporten 2")</f>
        <v>Torveporten 2</v>
      </c>
      <c r="J88" s="14">
        <f ca="1">IFERROR(__xludf.DUMMYFUNCTION("""COMPUTED_VALUE"""),2500)</f>
        <v>2500</v>
      </c>
      <c r="K88" s="14" t="str">
        <f ca="1">IFERROR(__xludf.DUMMYFUNCTION("""COMPUTED_VALUE"""),"Valby")</f>
        <v>Valby</v>
      </c>
      <c r="L88" s="14" t="str">
        <f ca="1">IFERROR(__xludf.DUMMYFUNCTION("""COMPUTED_VALUE"""),"København")</f>
        <v>København</v>
      </c>
      <c r="M88" s="14" t="str">
        <f ca="1">IFERROR(__xludf.DUMMYFUNCTION("""COMPUTED_VALUE"""),"København By")</f>
        <v>København By</v>
      </c>
      <c r="N88" s="14" t="str">
        <f ca="1">IFERROR(__xludf.DUMMYFUNCTION("""COMPUTED_VALUE"""),"Hovedstaden")</f>
        <v>Hovedstaden</v>
      </c>
      <c r="O88" s="14">
        <f ca="1">IFERROR(__xludf.DUMMYFUNCTION("""COMPUTED_VALUE"""),24640788)</f>
        <v>24640788</v>
      </c>
      <c r="P88" s="14" t="str">
        <f ca="1">IFERROR(__xludf.DUMMYFUNCTION("""COMPUTED_VALUE"""),"kontakt@sweet-homes.dk")</f>
        <v>kontakt@sweet-homes.dk</v>
      </c>
      <c r="Q88" s="15" t="str">
        <f ca="1">IFERROR(__xludf.DUMMYFUNCTION("""COMPUTED_VALUE"""),"https://www.boliga.dk/maegler/25452")</f>
        <v>https://www.boliga.dk/maegler/25452</v>
      </c>
      <c r="R88" s="14" t="str">
        <f ca="1">IFERROR(__xludf.DUMMYFUNCTION("""COMPUTED_VALUE"""),"-")</f>
        <v>-</v>
      </c>
      <c r="S88" s="14" t="str">
        <f ca="1">IFERROR(__xludf.DUMMYFUNCTION("""COMPUTED_VALUE"""),"-")</f>
        <v>-</v>
      </c>
      <c r="T88" s="14" t="str">
        <f ca="1">IFERROR(__xludf.DUMMYFUNCTION("""COMPUTED_VALUE"""),"-")</f>
        <v>-</v>
      </c>
      <c r="U88" s="14">
        <f ca="1">IFERROR(__xludf.DUMMYFUNCTION("""COMPUTED_VALUE"""),4)</f>
        <v>4</v>
      </c>
      <c r="V88" s="14" t="str">
        <f ca="1">IFERROR(__xludf.DUMMYFUNCTION("""COMPUTED_VALUE"""),"2950, 2770, 2300")</f>
        <v>2950, 2770, 2300</v>
      </c>
      <c r="W88" s="14">
        <f ca="1">IFERROR(__xludf.DUMMYFUNCTION("""COMPUTED_VALUE"""),8)</f>
        <v>8</v>
      </c>
      <c r="X88" s="14" t="str">
        <f ca="1">IFERROR(__xludf.DUMMYFUNCTION("""COMPUTED_VALUE"""),"2100, 2300, 1800, 1720, 2770, 2830, 2900")</f>
        <v>2100, 2300, 1800, 1720, 2770, 2830, 2900</v>
      </c>
      <c r="Y88" s="14" t="str">
        <f ca="1">IFERROR(__xludf.DUMMYFUNCTION("""COMPUTED_VALUE"""),"ja")</f>
        <v>ja</v>
      </c>
      <c r="Z88" s="14"/>
      <c r="AA88" s="14"/>
      <c r="AB88" s="14" t="str">
        <f ca="1">IFERROR(__xludf.DUMMYFUNCTION("""COMPUTED_VALUE"""),"x")</f>
        <v>x</v>
      </c>
      <c r="AC88" s="14" t="str">
        <f ca="1">IFERROR(__xludf.DUMMYFUNCTION("""COMPUTED_VALUE"""),"x")</f>
        <v>x</v>
      </c>
    </row>
    <row r="89" spans="1:29" ht="12.5" x14ac:dyDescent="0.25">
      <c r="A89" s="14" t="str">
        <f ca="1">IFERROR(__xludf.DUMMYFUNCTION("""COMPUTED_VALUE"""),"Camilla")</f>
        <v>Camilla</v>
      </c>
      <c r="B89" s="14" t="str">
        <f ca="1">IFERROR(__xludf.DUMMYFUNCTION("""COMPUTED_VALUE"""),"Tingleff Ejendomme")</f>
        <v>Tingleff Ejendomme</v>
      </c>
      <c r="C89" s="14">
        <f ca="1">IFERROR(__xludf.DUMMYFUNCTION("""COMPUTED_VALUE"""),37035297)</f>
        <v>37035297</v>
      </c>
      <c r="D89" s="14" t="str">
        <f ca="1">IFERROR(__xludf.DUMMYFUNCTION("""COMPUTED_VALUE"""),"MG-SJ: 3.499,-")</f>
        <v>MG-SJ: 3.499,-</v>
      </c>
      <c r="E89" s="14">
        <f ca="1">IFERROR(__xludf.DUMMYFUNCTION("""COMPUTED_VALUE"""),1202)</f>
        <v>1202</v>
      </c>
      <c r="F89" s="14" t="str">
        <f ca="1">IFERROR(__xludf.DUMMYFUNCTION("""COMPUTED_VALUE"""),"Morten Tingleff")</f>
        <v>Morten Tingleff</v>
      </c>
      <c r="G89" s="14" t="str">
        <f ca="1">IFERROR(__xludf.DUMMYFUNCTION("""COMPUTED_VALUE"""),"morten@tingleffejendomme.dk")</f>
        <v>morten@tingleffejendomme.dk</v>
      </c>
      <c r="H89" s="14">
        <f ca="1">IFERROR(__xludf.DUMMYFUNCTION("""COMPUTED_VALUE"""),51944945)</f>
        <v>51944945</v>
      </c>
      <c r="I89" s="14" t="str">
        <f ca="1">IFERROR(__xludf.DUMMYFUNCTION("""COMPUTED_VALUE"""),"Dønnevældevej 63")</f>
        <v>Dønnevældevej 63</v>
      </c>
      <c r="J89" s="14">
        <f ca="1">IFERROR(__xludf.DUMMYFUNCTION("""COMPUTED_VALUE"""),3230)</f>
        <v>3230</v>
      </c>
      <c r="K89" s="14" t="str">
        <f ca="1">IFERROR(__xludf.DUMMYFUNCTION("""COMPUTED_VALUE"""),"Græsted")</f>
        <v>Græsted</v>
      </c>
      <c r="L89" s="14" t="str">
        <f ca="1">IFERROR(__xludf.DUMMYFUNCTION("""COMPUTED_VALUE"""),"Gribskov")</f>
        <v>Gribskov</v>
      </c>
      <c r="M89" s="14" t="str">
        <f ca="1">IFERROR(__xludf.DUMMYFUNCTION("""COMPUTED_VALUE"""),"Nordsjælland")</f>
        <v>Nordsjælland</v>
      </c>
      <c r="N89" s="14" t="str">
        <f ca="1">IFERROR(__xludf.DUMMYFUNCTION("""COMPUTED_VALUE"""),"Hovedstaden")</f>
        <v>Hovedstaden</v>
      </c>
      <c r="O89" s="14">
        <f ca="1">IFERROR(__xludf.DUMMYFUNCTION("""COMPUTED_VALUE"""),51944945)</f>
        <v>51944945</v>
      </c>
      <c r="P89" s="14" t="str">
        <f ca="1">IFERROR(__xludf.DUMMYFUNCTION("""COMPUTED_VALUE"""),"info@tingleffejendomme.dk")</f>
        <v>info@tingleffejendomme.dk</v>
      </c>
      <c r="Q89" s="15" t="str">
        <f ca="1">IFERROR(__xludf.DUMMYFUNCTION("""COMPUTED_VALUE"""),"https://www.boliga.dk/maegler/27300")</f>
        <v>https://www.boliga.dk/maegler/27300</v>
      </c>
      <c r="R89" s="14" t="str">
        <f ca="1">IFERROR(__xludf.DUMMYFUNCTION("""COMPUTED_VALUE"""),"-")</f>
        <v>-</v>
      </c>
      <c r="S89" s="14" t="str">
        <f ca="1">IFERROR(__xludf.DUMMYFUNCTION("""COMPUTED_VALUE"""),"-")</f>
        <v>-</v>
      </c>
      <c r="T89" s="14" t="str">
        <f ca="1">IFERROR(__xludf.DUMMYFUNCTION("""COMPUTED_VALUE"""),"-")</f>
        <v>-</v>
      </c>
      <c r="U89" s="14">
        <f ca="1">IFERROR(__xludf.DUMMYFUNCTION("""COMPUTED_VALUE"""),2)</f>
        <v>2</v>
      </c>
      <c r="V89" s="14" t="str">
        <f ca="1">IFERROR(__xludf.DUMMYFUNCTION("""COMPUTED_VALUE"""),"3300, 3400")</f>
        <v>3300, 3400</v>
      </c>
      <c r="W89" s="14">
        <f ca="1">IFERROR(__xludf.DUMMYFUNCTION("""COMPUTED_VALUE"""),3)</f>
        <v>3</v>
      </c>
      <c r="X89" s="14" t="str">
        <f ca="1">IFERROR(__xludf.DUMMYFUNCTION("""COMPUTED_VALUE"""),"3230, 3370, 3400")</f>
        <v>3230, 3370, 3400</v>
      </c>
      <c r="Y89" s="14" t="str">
        <f ca="1">IFERROR(__xludf.DUMMYFUNCTION("""COMPUTED_VALUE"""),"ja")</f>
        <v>ja</v>
      </c>
      <c r="Z89" s="14"/>
      <c r="AA89" s="14"/>
      <c r="AB89" s="14" t="str">
        <f ca="1">IFERROR(__xludf.DUMMYFUNCTION("""COMPUTED_VALUE"""),"x")</f>
        <v>x</v>
      </c>
      <c r="AC89" s="14" t="str">
        <f ca="1">IFERROR(__xludf.DUMMYFUNCTION("""COMPUTED_VALUE"""),"x")</f>
        <v>x</v>
      </c>
    </row>
    <row r="90" spans="1:29" ht="12.5" x14ac:dyDescent="0.25">
      <c r="A90" s="14" t="str">
        <f ca="1">IFERROR(__xludf.DUMMYFUNCTION("""COMPUTED_VALUE"""),"Camilla")</f>
        <v>Camilla</v>
      </c>
      <c r="B90" s="14" t="str">
        <f ca="1">IFERROR(__xludf.DUMMYFUNCTION("""COMPUTED_VALUE"""),"UNIHOUSE")</f>
        <v>UNIHOUSE</v>
      </c>
      <c r="C90" s="14">
        <f ca="1">IFERROR(__xludf.DUMMYFUNCTION("""COMPUTED_VALUE"""),11918190)</f>
        <v>11918190</v>
      </c>
      <c r="D90" s="14" t="str">
        <f ca="1">IFERROR(__xludf.DUMMYFUNCTION("""COMPUTED_VALUE"""),"MG-SJ: 3.499,-")</f>
        <v>MG-SJ: 3.499,-</v>
      </c>
      <c r="E90" s="14">
        <f ca="1">IFERROR(__xludf.DUMMYFUNCTION("""COMPUTED_VALUE"""),1202)</f>
        <v>1202</v>
      </c>
      <c r="F90" s="14" t="str">
        <f ca="1">IFERROR(__xludf.DUMMYFUNCTION("""COMPUTED_VALUE"""),"Per Barklund")</f>
        <v>Per Barklund</v>
      </c>
      <c r="G90" s="14" t="str">
        <f ca="1">IFERROR(__xludf.DUMMYFUNCTION("""COMPUTED_VALUE"""),"barklund@unihouse.dk")</f>
        <v>barklund@unihouse.dk</v>
      </c>
      <c r="H90" s="14">
        <f ca="1">IFERROR(__xludf.DUMMYFUNCTION("""COMPUTED_VALUE"""),52101791)</f>
        <v>52101791</v>
      </c>
      <c r="I90" s="14" t="str">
        <f ca="1">IFERROR(__xludf.DUMMYFUNCTION("""COMPUTED_VALUE"""),"Bækkeskovvej 9")</f>
        <v>Bækkeskovvej 9</v>
      </c>
      <c r="J90" s="14">
        <f ca="1">IFERROR(__xludf.DUMMYFUNCTION("""COMPUTED_VALUE"""),2665)</f>
        <v>2665</v>
      </c>
      <c r="K90" s="14" t="str">
        <f ca="1">IFERROR(__xludf.DUMMYFUNCTION("""COMPUTED_VALUE"""),"Vallensbæk Str.")</f>
        <v>Vallensbæk Str.</v>
      </c>
      <c r="L90" s="14" t="str">
        <f ca="1">IFERROR(__xludf.DUMMYFUNCTION("""COMPUTED_VALUE"""),"Vallensbæk")</f>
        <v>Vallensbæk</v>
      </c>
      <c r="M90" s="14" t="str">
        <f ca="1">IFERROR(__xludf.DUMMYFUNCTION("""COMPUTED_VALUE"""),"Københavns omegn")</f>
        <v>Københavns omegn</v>
      </c>
      <c r="N90" s="14" t="str">
        <f ca="1">IFERROR(__xludf.DUMMYFUNCTION("""COMPUTED_VALUE"""),"Hovedstaden")</f>
        <v>Hovedstaden</v>
      </c>
      <c r="O90" s="14">
        <f ca="1">IFERROR(__xludf.DUMMYFUNCTION("""COMPUTED_VALUE"""),43548040)</f>
        <v>43548040</v>
      </c>
      <c r="P90" s="14" t="str">
        <f ca="1">IFERROR(__xludf.DUMMYFUNCTION("""COMPUTED_VALUE"""),"vallensbaek@unihouse.dk")</f>
        <v>vallensbaek@unihouse.dk</v>
      </c>
      <c r="Q90" s="15" t="str">
        <f ca="1">IFERROR(__xludf.DUMMYFUNCTION("""COMPUTED_VALUE"""),"https://www.boliga.dk/maegler/17294")</f>
        <v>https://www.boliga.dk/maegler/17294</v>
      </c>
      <c r="R90" s="14" t="str">
        <f ca="1">IFERROR(__xludf.DUMMYFUNCTION("""COMPUTED_VALUE"""),"-")</f>
        <v>-</v>
      </c>
      <c r="S90" s="14" t="str">
        <f ca="1">IFERROR(__xludf.DUMMYFUNCTION("""COMPUTED_VALUE"""),"-")</f>
        <v>-</v>
      </c>
      <c r="T90" s="14" t="str">
        <f ca="1">IFERROR(__xludf.DUMMYFUNCTION("""COMPUTED_VALUE"""),"-")</f>
        <v>-</v>
      </c>
      <c r="U90" s="14">
        <f ca="1">IFERROR(__xludf.DUMMYFUNCTION("""COMPUTED_VALUE"""),1)</f>
        <v>1</v>
      </c>
      <c r="V90" s="14">
        <f ca="1">IFERROR(__xludf.DUMMYFUNCTION("""COMPUTED_VALUE"""),4160)</f>
        <v>4160</v>
      </c>
      <c r="W90" s="14" t="str">
        <f ca="1">IFERROR(__xludf.DUMMYFUNCTION("""COMPUTED_VALUE"""),"-")</f>
        <v>-</v>
      </c>
      <c r="X90" s="14" t="str">
        <f ca="1">IFERROR(__xludf.DUMMYFUNCTION("""COMPUTED_VALUE"""),"-")</f>
        <v>-</v>
      </c>
      <c r="Y90" s="14" t="str">
        <f ca="1">IFERROR(__xludf.DUMMYFUNCTION("""COMPUTED_VALUE"""),"ja")</f>
        <v>ja</v>
      </c>
      <c r="Z90" s="14"/>
      <c r="AA90" s="14"/>
      <c r="AB90" s="14" t="str">
        <f ca="1">IFERROR(__xludf.DUMMYFUNCTION("""COMPUTED_VALUE"""),"x")</f>
        <v>x</v>
      </c>
      <c r="AC90" s="14" t="str">
        <f ca="1">IFERROR(__xludf.DUMMYFUNCTION("""COMPUTED_VALUE"""),"x")</f>
        <v>x</v>
      </c>
    </row>
    <row r="91" spans="1:29" ht="12.5" x14ac:dyDescent="0.25">
      <c r="A91" s="14" t="str">
        <f ca="1">IFERROR(__xludf.DUMMYFUNCTION("""COMPUTED_VALUE"""),"Camilla")</f>
        <v>Camilla</v>
      </c>
      <c r="B91" s="14" t="str">
        <f ca="1">IFERROR(__xludf.DUMMYFUNCTION("""COMPUTED_VALUE"""),"Vedel &amp; Colding")</f>
        <v>Vedel &amp; Colding</v>
      </c>
      <c r="C91" s="14">
        <f ca="1">IFERROR(__xludf.DUMMYFUNCTION("""COMPUTED_VALUE"""),16286842)</f>
        <v>16286842</v>
      </c>
      <c r="D91" s="14" t="str">
        <f ca="1">IFERROR(__xludf.DUMMYFUNCTION("""COMPUTED_VALUE"""),"MG-SJ: 3.499,-")</f>
        <v>MG-SJ: 3.499,-</v>
      </c>
      <c r="E91" s="14">
        <f ca="1">IFERROR(__xludf.DUMMYFUNCTION("""COMPUTED_VALUE"""),1202)</f>
        <v>1202</v>
      </c>
      <c r="F91" s="14" t="str">
        <f ca="1">IFERROR(__xludf.DUMMYFUNCTION("""COMPUTED_VALUE"""),"Jørgen Colding")</f>
        <v>Jørgen Colding</v>
      </c>
      <c r="G91" s="15" t="str">
        <f ca="1">IFERROR(__xludf.DUMMYFUNCTION("""COMPUTED_VALUE"""),"colding@vedel-colding.dk")</f>
        <v>colding@vedel-colding.dk</v>
      </c>
      <c r="H91" s="14">
        <f ca="1">IFERROR(__xludf.DUMMYFUNCTION("""COMPUTED_VALUE"""),20999146)</f>
        <v>20999146</v>
      </c>
      <c r="I91" s="14" t="str">
        <f ca="1">IFERROR(__xludf.DUMMYFUNCTION("""COMPUTED_VALUE"""),"Onsgårdsvej 23, st.")</f>
        <v>Onsgårdsvej 23, st.</v>
      </c>
      <c r="J91" s="14">
        <f ca="1">IFERROR(__xludf.DUMMYFUNCTION("""COMPUTED_VALUE"""),2900)</f>
        <v>2900</v>
      </c>
      <c r="K91" s="14" t="str">
        <f ca="1">IFERROR(__xludf.DUMMYFUNCTION("""COMPUTED_VALUE"""),"Hellerup")</f>
        <v>Hellerup</v>
      </c>
      <c r="L91" s="14" t="str">
        <f ca="1">IFERROR(__xludf.DUMMYFUNCTION("""COMPUTED_VALUE"""),"Gentofte")</f>
        <v>Gentofte</v>
      </c>
      <c r="M91" s="14" t="str">
        <f ca="1">IFERROR(__xludf.DUMMYFUNCTION("""COMPUTED_VALUE"""),"Københavns omegn")</f>
        <v>Københavns omegn</v>
      </c>
      <c r="N91" s="14" t="str">
        <f ca="1">IFERROR(__xludf.DUMMYFUNCTION("""COMPUTED_VALUE"""),"Hovedstaden")</f>
        <v>Hovedstaden</v>
      </c>
      <c r="O91" s="14">
        <f ca="1">IFERROR(__xludf.DUMMYFUNCTION("""COMPUTED_VALUE"""),20999146)</f>
        <v>20999146</v>
      </c>
      <c r="P91" s="14" t="str">
        <f ca="1">IFERROR(__xludf.DUMMYFUNCTION("""COMPUTED_VALUE"""),"info@vedel-colding.dk")</f>
        <v>info@vedel-colding.dk</v>
      </c>
      <c r="Q91" s="15" t="str">
        <f ca="1">IFERROR(__xludf.DUMMYFUNCTION("""COMPUTED_VALUE"""),"https://www.boliga.dk/maegler/24806")</f>
        <v>https://www.boliga.dk/maegler/24806</v>
      </c>
      <c r="R91" s="14" t="str">
        <f ca="1">IFERROR(__xludf.DUMMYFUNCTION("""COMPUTED_VALUE"""),"-")</f>
        <v>-</v>
      </c>
      <c r="S91" s="14" t="str">
        <f ca="1">IFERROR(__xludf.DUMMYFUNCTION("""COMPUTED_VALUE"""),"-")</f>
        <v>-</v>
      </c>
      <c r="T91" s="14" t="str">
        <f ca="1">IFERROR(__xludf.DUMMYFUNCTION("""COMPUTED_VALUE"""),"-")</f>
        <v>-</v>
      </c>
      <c r="U91" s="14" t="str">
        <f ca="1">IFERROR(__xludf.DUMMYFUNCTION("""COMPUTED_VALUE"""),"-")</f>
        <v>-</v>
      </c>
      <c r="V91" s="14" t="str">
        <f ca="1">IFERROR(__xludf.DUMMYFUNCTION("""COMPUTED_VALUE"""),"-")</f>
        <v>-</v>
      </c>
      <c r="W91" s="14">
        <f ca="1">IFERROR(__xludf.DUMMYFUNCTION("""COMPUTED_VALUE"""),1)</f>
        <v>1</v>
      </c>
      <c r="X91" s="14">
        <f ca="1">IFERROR(__xludf.DUMMYFUNCTION("""COMPUTED_VALUE"""),4560)</f>
        <v>4560</v>
      </c>
      <c r="Y91" s="14" t="str">
        <f ca="1">IFERROR(__xludf.DUMMYFUNCTION("""COMPUTED_VALUE"""),"ja")</f>
        <v>ja</v>
      </c>
      <c r="Z91" s="14"/>
      <c r="AA91" s="14"/>
      <c r="AB91" s="14" t="str">
        <f ca="1">IFERROR(__xludf.DUMMYFUNCTION("""COMPUTED_VALUE"""),"x")</f>
        <v>x</v>
      </c>
      <c r="AC91" s="14" t="str">
        <f ca="1">IFERROR(__xludf.DUMMYFUNCTION("""COMPUTED_VALUE"""),"x")</f>
        <v>x</v>
      </c>
    </row>
    <row r="92" spans="1:29" ht="12.5" x14ac:dyDescent="0.25">
      <c r="A92" s="14" t="str">
        <f ca="1">IFERROR(__xludf.DUMMYFUNCTION("""COMPUTED_VALUE"""),"Camilla")</f>
        <v>Camilla</v>
      </c>
      <c r="B92" s="14" t="str">
        <f ca="1">IFERROR(__xludf.DUMMYFUNCTION("""COMPUTED_VALUE"""),"Vestegnen Bolig")</f>
        <v>Vestegnen Bolig</v>
      </c>
      <c r="C92" s="14">
        <f ca="1">IFERROR(__xludf.DUMMYFUNCTION("""COMPUTED_VALUE"""),36415169)</f>
        <v>36415169</v>
      </c>
      <c r="D92" s="14" t="str">
        <f ca="1">IFERROR(__xludf.DUMMYFUNCTION("""COMPUTED_VALUE"""),"MG-SJ: 3.499,-")</f>
        <v>MG-SJ: 3.499,-</v>
      </c>
      <c r="E92" s="14">
        <f ca="1">IFERROR(__xludf.DUMMYFUNCTION("""COMPUTED_VALUE"""),1202)</f>
        <v>1202</v>
      </c>
      <c r="F92" s="14" t="str">
        <f ca="1">IFERROR(__xludf.DUMMYFUNCTION("""COMPUTED_VALUE"""),"Ali Kayhan")</f>
        <v>Ali Kayhan</v>
      </c>
      <c r="G92" s="14" t="str">
        <f ca="1">IFERROR(__xludf.DUMMYFUNCTION("""COMPUTED_VALUE"""),"info@vestegnenbolig.dk")</f>
        <v>info@vestegnenbolig.dk</v>
      </c>
      <c r="H92" s="14">
        <f ca="1">IFERROR(__xludf.DUMMYFUNCTION("""COMPUTED_VALUE"""),28181960)</f>
        <v>28181960</v>
      </c>
      <c r="I92" s="14" t="str">
        <f ca="1">IFERROR(__xludf.DUMMYFUNCTION("""COMPUTED_VALUE"""),"Taastrup Hovedgade 53A")</f>
        <v>Taastrup Hovedgade 53A</v>
      </c>
      <c r="J92" s="14">
        <f ca="1">IFERROR(__xludf.DUMMYFUNCTION("""COMPUTED_VALUE"""),2630)</f>
        <v>2630</v>
      </c>
      <c r="K92" s="14" t="str">
        <f ca="1">IFERROR(__xludf.DUMMYFUNCTION("""COMPUTED_VALUE"""),"Taastrup")</f>
        <v>Taastrup</v>
      </c>
      <c r="L92" s="14" t="str">
        <f ca="1">IFERROR(__xludf.DUMMYFUNCTION("""COMPUTED_VALUE"""),"Høje-Taastrup")</f>
        <v>Høje-Taastrup</v>
      </c>
      <c r="M92" s="14" t="str">
        <f ca="1">IFERROR(__xludf.DUMMYFUNCTION("""COMPUTED_VALUE"""),"Københavns omegn")</f>
        <v>Københavns omegn</v>
      </c>
      <c r="N92" s="14" t="str">
        <f ca="1">IFERROR(__xludf.DUMMYFUNCTION("""COMPUTED_VALUE"""),"Hovedstaden")</f>
        <v>Hovedstaden</v>
      </c>
      <c r="O92" s="14">
        <f ca="1">IFERROR(__xludf.DUMMYFUNCTION("""COMPUTED_VALUE"""),70707272)</f>
        <v>70707272</v>
      </c>
      <c r="P92" s="14" t="str">
        <f ca="1">IFERROR(__xludf.DUMMYFUNCTION("""COMPUTED_VALUE"""),"info@vestegnenbolig.dk")</f>
        <v>info@vestegnenbolig.dk</v>
      </c>
      <c r="Q92" s="15" t="str">
        <f ca="1">IFERROR(__xludf.DUMMYFUNCTION("""COMPUTED_VALUE"""),"https://www.boliga.dk/maegler/24200")</f>
        <v>https://www.boliga.dk/maegler/24200</v>
      </c>
      <c r="R92" s="14" t="str">
        <f ca="1">IFERROR(__xludf.DUMMYFUNCTION("""COMPUTED_VALUE"""),"-")</f>
        <v>-</v>
      </c>
      <c r="S92" s="14" t="str">
        <f ca="1">IFERROR(__xludf.DUMMYFUNCTION("""COMPUTED_VALUE"""),"-")</f>
        <v>-</v>
      </c>
      <c r="T92" s="14" t="str">
        <f ca="1">IFERROR(__xludf.DUMMYFUNCTION("""COMPUTED_VALUE"""),"-")</f>
        <v>-</v>
      </c>
      <c r="U92" s="14">
        <f ca="1">IFERROR(__xludf.DUMMYFUNCTION("""COMPUTED_VALUE"""),2)</f>
        <v>2</v>
      </c>
      <c r="V92" s="14" t="str">
        <f ca="1">IFERROR(__xludf.DUMMYFUNCTION("""COMPUTED_VALUE"""),"2665, 2630")</f>
        <v>2665, 2630</v>
      </c>
      <c r="W92" s="14">
        <f ca="1">IFERROR(__xludf.DUMMYFUNCTION("""COMPUTED_VALUE"""),4)</f>
        <v>4</v>
      </c>
      <c r="X92" s="14" t="str">
        <f ca="1">IFERROR(__xludf.DUMMYFUNCTION("""COMPUTED_VALUE"""),"2610, 2600, 2665, 2630")</f>
        <v>2610, 2600, 2665, 2630</v>
      </c>
      <c r="Y92" s="14" t="str">
        <f ca="1">IFERROR(__xludf.DUMMYFUNCTION("""COMPUTED_VALUE"""),"ja")</f>
        <v>ja</v>
      </c>
      <c r="Z92" s="14"/>
      <c r="AA92" s="14"/>
      <c r="AB92" s="14" t="str">
        <f ca="1">IFERROR(__xludf.DUMMYFUNCTION("""COMPUTED_VALUE"""),"x")</f>
        <v>x</v>
      </c>
      <c r="AC92" s="14" t="str">
        <f ca="1">IFERROR(__xludf.DUMMYFUNCTION("""COMPUTED_VALUE"""),"x")</f>
        <v>x</v>
      </c>
    </row>
    <row r="93" spans="1:29" ht="12.5" x14ac:dyDescent="0.25">
      <c r="A93" s="14" t="str">
        <f ca="1">IFERROR(__xludf.DUMMYFUNCTION("""COMPUTED_VALUE"""),"Camilla")</f>
        <v>Camilla</v>
      </c>
      <c r="B93" s="14" t="str">
        <f ca="1">IFERROR(__xludf.DUMMYFUNCTION("""COMPUTED_VALUE"""),"Westring Estate")</f>
        <v>Westring Estate</v>
      </c>
      <c r="C93" s="14">
        <f ca="1">IFERROR(__xludf.DUMMYFUNCTION("""COMPUTED_VALUE"""),32054242)</f>
        <v>32054242</v>
      </c>
      <c r="D93" s="14" t="str">
        <f ca="1">IFERROR(__xludf.DUMMYFUNCTION("""COMPUTED_VALUE"""),"MG-SJ: 3.499,-")</f>
        <v>MG-SJ: 3.499,-</v>
      </c>
      <c r="E93" s="14">
        <f ca="1">IFERROR(__xludf.DUMMYFUNCTION("""COMPUTED_VALUE"""),1202)</f>
        <v>1202</v>
      </c>
      <c r="F93" s="14" t="str">
        <f ca="1">IFERROR(__xludf.DUMMYFUNCTION("""COMPUTED_VALUE"""),"Anni Westring")</f>
        <v>Anni Westring</v>
      </c>
      <c r="G93" s="14" t="str">
        <f ca="1">IFERROR(__xludf.DUMMYFUNCTION("""COMPUTED_VALUE"""),"anni@westring-estate.dk")</f>
        <v>anni@westring-estate.dk</v>
      </c>
      <c r="H93" s="14">
        <f ca="1">IFERROR(__xludf.DUMMYFUNCTION("""COMPUTED_VALUE"""),70239568)</f>
        <v>70239568</v>
      </c>
      <c r="I93" s="14" t="str">
        <f ca="1">IFERROR(__xludf.DUMMYFUNCTION("""COMPUTED_VALUE"""),"Havremarksvej 7, Annisse")</f>
        <v>Havremarksvej 7, Annisse</v>
      </c>
      <c r="J93" s="14">
        <f ca="1">IFERROR(__xludf.DUMMYFUNCTION("""COMPUTED_VALUE"""),3200)</f>
        <v>3200</v>
      </c>
      <c r="K93" s="14" t="str">
        <f ca="1">IFERROR(__xludf.DUMMYFUNCTION("""COMPUTED_VALUE"""),"Helsinge")</f>
        <v>Helsinge</v>
      </c>
      <c r="L93" s="14" t="str">
        <f ca="1">IFERROR(__xludf.DUMMYFUNCTION("""COMPUTED_VALUE"""),"Gribskov")</f>
        <v>Gribskov</v>
      </c>
      <c r="M93" s="14" t="str">
        <f ca="1">IFERROR(__xludf.DUMMYFUNCTION("""COMPUTED_VALUE"""),"Nordsjælland")</f>
        <v>Nordsjælland</v>
      </c>
      <c r="N93" s="14" t="str">
        <f ca="1">IFERROR(__xludf.DUMMYFUNCTION("""COMPUTED_VALUE"""),"Hovedstaden")</f>
        <v>Hovedstaden</v>
      </c>
      <c r="O93" s="14">
        <f ca="1">IFERROR(__xludf.DUMMYFUNCTION("""COMPUTED_VALUE"""),70239568)</f>
        <v>70239568</v>
      </c>
      <c r="P93" s="14" t="str">
        <f ca="1">IFERROR(__xludf.DUMMYFUNCTION("""COMPUTED_VALUE"""),"info@westring-estate.dk")</f>
        <v>info@westring-estate.dk</v>
      </c>
      <c r="Q93" s="15" t="str">
        <f ca="1">IFERROR(__xludf.DUMMYFUNCTION("""COMPUTED_VALUE"""),"https://www.boliga.dk/maegler/17203")</f>
        <v>https://www.boliga.dk/maegler/17203</v>
      </c>
      <c r="R93" s="14" t="str">
        <f ca="1">IFERROR(__xludf.DUMMYFUNCTION("""COMPUTED_VALUE"""),"-")</f>
        <v>-</v>
      </c>
      <c r="S93" s="14" t="str">
        <f ca="1">IFERROR(__xludf.DUMMYFUNCTION("""COMPUTED_VALUE"""),"-")</f>
        <v>-</v>
      </c>
      <c r="T93" s="14" t="str">
        <f ca="1">IFERROR(__xludf.DUMMYFUNCTION("""COMPUTED_VALUE"""),"-")</f>
        <v>-</v>
      </c>
      <c r="U93" s="14">
        <f ca="1">IFERROR(__xludf.DUMMYFUNCTION("""COMPUTED_VALUE"""),3)</f>
        <v>3</v>
      </c>
      <c r="V93" s="14" t="str">
        <f ca="1">IFERROR(__xludf.DUMMYFUNCTION("""COMPUTED_VALUE"""),"3250, 3200, 3230")</f>
        <v>3250, 3200, 3230</v>
      </c>
      <c r="W93" s="14" t="str">
        <f ca="1">IFERROR(__xludf.DUMMYFUNCTION("""COMPUTED_VALUE"""),"-")</f>
        <v>-</v>
      </c>
      <c r="X93" s="14" t="str">
        <f ca="1">IFERROR(__xludf.DUMMYFUNCTION("""COMPUTED_VALUE"""),"-")</f>
        <v>-</v>
      </c>
      <c r="Y93" s="14" t="str">
        <f ca="1">IFERROR(__xludf.DUMMYFUNCTION("""COMPUTED_VALUE"""),"ja")</f>
        <v>ja</v>
      </c>
      <c r="Z93" s="14"/>
      <c r="AA93" s="14"/>
      <c r="AB93" s="14" t="str">
        <f ca="1">IFERROR(__xludf.DUMMYFUNCTION("""COMPUTED_VALUE"""),"x")</f>
        <v>x</v>
      </c>
      <c r="AC93" s="14" t="str">
        <f ca="1">IFERROR(__xludf.DUMMYFUNCTION("""COMPUTED_VALUE"""),"x")</f>
        <v>x</v>
      </c>
    </row>
    <row r="94" spans="1:29" ht="12.5" x14ac:dyDescent="0.25">
      <c r="A94" s="14" t="str">
        <f ca="1">IFERROR(__xludf.DUMMYFUNCTION("""COMPUTED_VALUE"""),"Camilla")</f>
        <v>Camilla</v>
      </c>
      <c r="B94" s="14" t="str">
        <f ca="1">IFERROR(__xludf.DUMMYFUNCTION("""COMPUTED_VALUE"""),"Wilstrup Bolig")</f>
        <v>Wilstrup Bolig</v>
      </c>
      <c r="C94" s="14">
        <f ca="1">IFERROR(__xludf.DUMMYFUNCTION("""COMPUTED_VALUE"""),40041435)</f>
        <v>40041435</v>
      </c>
      <c r="D94" s="14" t="str">
        <f ca="1">IFERROR(__xludf.DUMMYFUNCTION("""COMPUTED_VALUE"""),"MG-SJ: 3.499,-")</f>
        <v>MG-SJ: 3.499,-</v>
      </c>
      <c r="E94" s="14">
        <f ca="1">IFERROR(__xludf.DUMMYFUNCTION("""COMPUTED_VALUE"""),1202)</f>
        <v>1202</v>
      </c>
      <c r="F94" s="14" t="str">
        <f ca="1">IFERROR(__xludf.DUMMYFUNCTION("""COMPUTED_VALUE"""),"Kasper Wilstrup")</f>
        <v>Kasper Wilstrup</v>
      </c>
      <c r="G94" s="15" t="str">
        <f ca="1">IFERROR(__xludf.DUMMYFUNCTION("""COMPUTED_VALUE"""),"khw@wilstrupbolig.dk")</f>
        <v>khw@wilstrupbolig.dk</v>
      </c>
      <c r="H94" s="14">
        <f ca="1">IFERROR(__xludf.DUMMYFUNCTION("""COMPUTED_VALUE"""),28301059)</f>
        <v>28301059</v>
      </c>
      <c r="I94" s="14" t="str">
        <f ca="1">IFERROR(__xludf.DUMMYFUNCTION("""COMPUTED_VALUE"""),"Stjernegade 4B, 2.tv.")</f>
        <v>Stjernegade 4B, 2.tv.</v>
      </c>
      <c r="J94" s="14">
        <f ca="1">IFERROR(__xludf.DUMMYFUNCTION("""COMPUTED_VALUE"""),3000)</f>
        <v>3000</v>
      </c>
      <c r="K94" s="14" t="str">
        <f ca="1">IFERROR(__xludf.DUMMYFUNCTION("""COMPUTED_VALUE"""),"Helsingør")</f>
        <v>Helsingør</v>
      </c>
      <c r="L94" s="14" t="str">
        <f ca="1">IFERROR(__xludf.DUMMYFUNCTION("""COMPUTED_VALUE"""),"Helsingør")</f>
        <v>Helsingør</v>
      </c>
      <c r="M94" s="14" t="str">
        <f ca="1">IFERROR(__xludf.DUMMYFUNCTION("""COMPUTED_VALUE"""),"Nordsjælland")</f>
        <v>Nordsjælland</v>
      </c>
      <c r="N94" s="14" t="str">
        <f ca="1">IFERROR(__xludf.DUMMYFUNCTION("""COMPUTED_VALUE"""),"Hovedstaden")</f>
        <v>Hovedstaden</v>
      </c>
      <c r="O94" s="14">
        <f ca="1">IFERROR(__xludf.DUMMYFUNCTION("""COMPUTED_VALUE"""),28301059)</f>
        <v>28301059</v>
      </c>
      <c r="P94" s="14" t="str">
        <f ca="1">IFERROR(__xludf.DUMMYFUNCTION("""COMPUTED_VALUE"""),"kontakt@wilstrupbolig.dk")</f>
        <v>kontakt@wilstrupbolig.dk</v>
      </c>
      <c r="Q94" s="15" t="str">
        <f ca="1">IFERROR(__xludf.DUMMYFUNCTION("""COMPUTED_VALUE"""),"https://www.boliga.dk/maegler/25363")</f>
        <v>https://www.boliga.dk/maegler/25363</v>
      </c>
      <c r="R94" s="14" t="str">
        <f ca="1">IFERROR(__xludf.DUMMYFUNCTION("""COMPUTED_VALUE"""),"-")</f>
        <v>-</v>
      </c>
      <c r="S94" s="14" t="str">
        <f ca="1">IFERROR(__xludf.DUMMYFUNCTION("""COMPUTED_VALUE"""),"-")</f>
        <v>-</v>
      </c>
      <c r="T94" s="14" t="str">
        <f ca="1">IFERROR(__xludf.DUMMYFUNCTION("""COMPUTED_VALUE"""),"-")</f>
        <v>-</v>
      </c>
      <c r="U94" s="14">
        <f ca="1">IFERROR(__xludf.DUMMYFUNCTION("""COMPUTED_VALUE"""),7)</f>
        <v>7</v>
      </c>
      <c r="V94" s="14" t="str">
        <f ca="1">IFERROR(__xludf.DUMMYFUNCTION("""COMPUTED_VALUE"""),"3000, 3050, 3140, 3400")</f>
        <v>3000, 3050, 3140, 3400</v>
      </c>
      <c r="W94" s="14">
        <f ca="1">IFERROR(__xludf.DUMMYFUNCTION("""COMPUTED_VALUE"""),10)</f>
        <v>10</v>
      </c>
      <c r="X94" s="14" t="str">
        <f ca="1">IFERROR(__xludf.DUMMYFUNCTION("""COMPUTED_VALUE"""),"3070, 3050, 3650, 3000, 3060, 3120, 3100, 3140")</f>
        <v>3070, 3050, 3650, 3000, 3060, 3120, 3100, 3140</v>
      </c>
      <c r="Y94" s="14" t="str">
        <f ca="1">IFERROR(__xludf.DUMMYFUNCTION("""COMPUTED_VALUE"""),"ja")</f>
        <v>ja</v>
      </c>
      <c r="Z94" s="14"/>
      <c r="AA94" s="14"/>
      <c r="AB94" s="14" t="str">
        <f ca="1">IFERROR(__xludf.DUMMYFUNCTION("""COMPUTED_VALUE"""),"x")</f>
        <v>x</v>
      </c>
      <c r="AC94" s="14" t="str">
        <f ca="1">IFERROR(__xludf.DUMMYFUNCTION("""COMPUTED_VALUE"""),"x")</f>
        <v>x</v>
      </c>
    </row>
    <row r="95" spans="1:29" ht="12.5" x14ac:dyDescent="0.25">
      <c r="A95" s="14" t="str">
        <f ca="1">IFERROR(__xludf.DUMMYFUNCTION("""COMPUTED_VALUE"""),"Camilla")</f>
        <v>Camilla</v>
      </c>
      <c r="B95" s="15" t="str">
        <f ca="1">IFERROR(__xludf.DUMMYFUNCTION("""COMPUTED_VALUE"""),"Wohn.dk")</f>
        <v>Wohn.dk</v>
      </c>
      <c r="C95" s="14">
        <f ca="1">IFERROR(__xludf.DUMMYFUNCTION("""COMPUTED_VALUE"""),39731991)</f>
        <v>39731991</v>
      </c>
      <c r="D95" s="14" t="str">
        <f ca="1">IFERROR(__xludf.DUMMYFUNCTION("""COMPUTED_VALUE"""),"MG-SJ: 3.499,-")</f>
        <v>MG-SJ: 3.499,-</v>
      </c>
      <c r="E95" s="14">
        <f ca="1">IFERROR(__xludf.DUMMYFUNCTION("""COMPUTED_VALUE"""),1202)</f>
        <v>1202</v>
      </c>
      <c r="F95" s="14" t="str">
        <f ca="1">IFERROR(__xludf.DUMMYFUNCTION("""COMPUTED_VALUE"""),"Michael Christensen ")</f>
        <v xml:space="preserve">Michael Christensen </v>
      </c>
      <c r="G95" s="15" t="str">
        <f ca="1">IFERROR(__xludf.DUMMYFUNCTION("""COMPUTED_VALUE"""),"mc@wohn.dk")</f>
        <v>mc@wohn.dk</v>
      </c>
      <c r="H95" s="14">
        <f ca="1">IFERROR(__xludf.DUMMYFUNCTION("""COMPUTED_VALUE"""),32220661)</f>
        <v>32220661</v>
      </c>
      <c r="I95" s="14" t="str">
        <f ca="1">IFERROR(__xludf.DUMMYFUNCTION("""COMPUTED_VALUE"""),"Borgergade 30, st.")</f>
        <v>Borgergade 30, st.</v>
      </c>
      <c r="J95" s="14">
        <f ca="1">IFERROR(__xludf.DUMMYFUNCTION("""COMPUTED_VALUE"""),1300)</f>
        <v>1300</v>
      </c>
      <c r="K95" s="14" t="str">
        <f ca="1">IFERROR(__xludf.DUMMYFUNCTION("""COMPUTED_VALUE"""),"København K")</f>
        <v>København K</v>
      </c>
      <c r="L95" s="14" t="str">
        <f ca="1">IFERROR(__xludf.DUMMYFUNCTION("""COMPUTED_VALUE"""),"København")</f>
        <v>København</v>
      </c>
      <c r="M95" s="14" t="str">
        <f ca="1">IFERROR(__xludf.DUMMYFUNCTION("""COMPUTED_VALUE"""),"København By")</f>
        <v>København By</v>
      </c>
      <c r="N95" s="14" t="str">
        <f ca="1">IFERROR(__xludf.DUMMYFUNCTION("""COMPUTED_VALUE"""),"Hovedstaden")</f>
        <v>Hovedstaden</v>
      </c>
      <c r="O95" s="14">
        <f ca="1">IFERROR(__xludf.DUMMYFUNCTION("""COMPUTED_VALUE"""),32220000)</f>
        <v>32220000</v>
      </c>
      <c r="P95" s="14" t="str">
        <f ca="1">IFERROR(__xludf.DUMMYFUNCTION("""COMPUTED_VALUE"""),"info@wohn.dk")</f>
        <v>info@wohn.dk</v>
      </c>
      <c r="Q95" s="15" t="str">
        <f ca="1">IFERROR(__xludf.DUMMYFUNCTION("""COMPUTED_VALUE"""),"https://www.boliga.dk/maegler/28350")</f>
        <v>https://www.boliga.dk/maegler/28350</v>
      </c>
      <c r="R95" s="14" t="str">
        <f ca="1">IFERROR(__xludf.DUMMYFUNCTION("""COMPUTED_VALUE"""),"-")</f>
        <v>-</v>
      </c>
      <c r="S95" s="14" t="str">
        <f ca="1">IFERROR(__xludf.DUMMYFUNCTION("""COMPUTED_VALUE"""),"-")</f>
        <v>-</v>
      </c>
      <c r="T95" s="14" t="str">
        <f ca="1">IFERROR(__xludf.DUMMYFUNCTION("""COMPUTED_VALUE"""),"-")</f>
        <v>-</v>
      </c>
      <c r="U95" s="14" t="str">
        <f ca="1">IFERROR(__xludf.DUMMYFUNCTION("""COMPUTED_VALUE"""),"-")</f>
        <v>-</v>
      </c>
      <c r="V95" s="14" t="str">
        <f ca="1">IFERROR(__xludf.DUMMYFUNCTION("""COMPUTED_VALUE"""),"-")</f>
        <v>-</v>
      </c>
      <c r="W95" s="14">
        <f ca="1">IFERROR(__xludf.DUMMYFUNCTION("""COMPUTED_VALUE"""),1)</f>
        <v>1</v>
      </c>
      <c r="X95" s="14">
        <f ca="1">IFERROR(__xludf.DUMMYFUNCTION("""COMPUTED_VALUE"""),4140)</f>
        <v>4140</v>
      </c>
      <c r="Y95" s="14" t="str">
        <f ca="1">IFERROR(__xludf.DUMMYFUNCTION("""COMPUTED_VALUE"""),"ja")</f>
        <v>ja</v>
      </c>
      <c r="Z95" s="14"/>
      <c r="AA95" s="14"/>
      <c r="AB95" s="14" t="str">
        <f ca="1">IFERROR(__xludf.DUMMYFUNCTION("""COMPUTED_VALUE"""),"x")</f>
        <v>x</v>
      </c>
      <c r="AC95" s="14" t="str">
        <f ca="1">IFERROR(__xludf.DUMMYFUNCTION("""COMPUTED_VALUE"""),"x")</f>
        <v>x</v>
      </c>
    </row>
    <row r="96" spans="1:29" ht="12.5" x14ac:dyDescent="0.25">
      <c r="A96" s="14" t="str">
        <f ca="1">IFERROR(__xludf.DUMMYFUNCTION("""COMPUTED_VALUE"""),"Camilla")</f>
        <v>Camilla</v>
      </c>
      <c r="B96" s="14" t="str">
        <f ca="1">IFERROR(__xludf.DUMMYFUNCTION("""COMPUTED_VALUE"""),"AREAL ApS")</f>
        <v>AREAL ApS</v>
      </c>
      <c r="C96" s="14">
        <f ca="1">IFERROR(__xludf.DUMMYFUNCTION("""COMPUTED_VALUE"""),32948731)</f>
        <v>32948731</v>
      </c>
      <c r="D96" s="14" t="str">
        <f ca="1">IFERROR(__xludf.DUMMYFUNCTION("""COMPUTED_VALUE"""),"MG-JY: 2.499,-")</f>
        <v>MG-JY: 2.499,-</v>
      </c>
      <c r="E96" s="14">
        <f ca="1">IFERROR(__xludf.DUMMYFUNCTION("""COMPUTED_VALUE"""),1201)</f>
        <v>1201</v>
      </c>
      <c r="F96" s="14" t="str">
        <f ca="1">IFERROR(__xludf.DUMMYFUNCTION("""COMPUTED_VALUE"""),"Tuncer Gültekin")</f>
        <v>Tuncer Gültekin</v>
      </c>
      <c r="G96" s="14" t="str">
        <f ca="1">IFERROR(__xludf.DUMMYFUNCTION("""COMPUTED_VALUE"""),"info@areal.dk")</f>
        <v>info@areal.dk</v>
      </c>
      <c r="H96" s="14">
        <f ca="1">IFERROR(__xludf.DUMMYFUNCTION("""COMPUTED_VALUE"""),40637787)</f>
        <v>40637787</v>
      </c>
      <c r="I96" s="14" t="str">
        <f ca="1">IFERROR(__xludf.DUMMYFUNCTION("""COMPUTED_VALUE"""),"Steen Blichers Gade 21B")</f>
        <v>Steen Blichers Gade 21B</v>
      </c>
      <c r="J96" s="14">
        <f ca="1">IFERROR(__xludf.DUMMYFUNCTION("""COMPUTED_VALUE"""),8900)</f>
        <v>8900</v>
      </c>
      <c r="K96" s="14" t="str">
        <f ca="1">IFERROR(__xludf.DUMMYFUNCTION("""COMPUTED_VALUE"""),"Randers C")</f>
        <v>Randers C</v>
      </c>
      <c r="L96" s="14" t="str">
        <f ca="1">IFERROR(__xludf.DUMMYFUNCTION("""COMPUTED_VALUE"""),"Randers")</f>
        <v>Randers</v>
      </c>
      <c r="M96" s="14" t="str">
        <f ca="1">IFERROR(__xludf.DUMMYFUNCTION("""COMPUTED_VALUE"""),"Østjylland")</f>
        <v>Østjylland</v>
      </c>
      <c r="N96" s="14" t="str">
        <f ca="1">IFERROR(__xludf.DUMMYFUNCTION("""COMPUTED_VALUE"""),"Midtjylland")</f>
        <v>Midtjylland</v>
      </c>
      <c r="O96" s="14">
        <f ca="1">IFERROR(__xludf.DUMMYFUNCTION("""COMPUTED_VALUE"""),40637787)</f>
        <v>40637787</v>
      </c>
      <c r="P96" s="14" t="str">
        <f ca="1">IFERROR(__xludf.DUMMYFUNCTION("""COMPUTED_VALUE"""),"info@areal.dk")</f>
        <v>info@areal.dk</v>
      </c>
      <c r="Q96" s="15" t="str">
        <f ca="1">IFERROR(__xludf.DUMMYFUNCTION("""COMPUTED_VALUE"""),"https://www.boliga.dk/maegler/26330")</f>
        <v>https://www.boliga.dk/maegler/26330</v>
      </c>
      <c r="R96" s="14" t="str">
        <f ca="1">IFERROR(__xludf.DUMMYFUNCTION("""COMPUTED_VALUE"""),"-")</f>
        <v>-</v>
      </c>
      <c r="S96" s="14" t="str">
        <f ca="1">IFERROR(__xludf.DUMMYFUNCTION("""COMPUTED_VALUE"""),"-")</f>
        <v>-</v>
      </c>
      <c r="T96" s="14" t="str">
        <f ca="1">IFERROR(__xludf.DUMMYFUNCTION("""COMPUTED_VALUE"""),"-")</f>
        <v>-</v>
      </c>
      <c r="U96" s="14">
        <f ca="1">IFERROR(__xludf.DUMMYFUNCTION("""COMPUTED_VALUE"""),13)</f>
        <v>13</v>
      </c>
      <c r="V96" s="14" t="str">
        <f ca="1">IFERROR(__xludf.DUMMYFUNCTION("""COMPUTED_VALUE"""),"8920, 8870, 8930, 8970, 9550, 9500, 6200, 8900, 8983")</f>
        <v>8920, 8870, 8930, 8970, 9550, 9500, 6200, 8900, 8983</v>
      </c>
      <c r="W96" s="14">
        <f ca="1">IFERROR(__xludf.DUMMYFUNCTION("""COMPUTED_VALUE"""),1)</f>
        <v>1</v>
      </c>
      <c r="X96" s="14">
        <f ca="1">IFERROR(__xludf.DUMMYFUNCTION("""COMPUTED_VALUE"""),8870)</f>
        <v>8870</v>
      </c>
      <c r="Y96" s="14" t="str">
        <f ca="1">IFERROR(__xludf.DUMMYFUNCTION("""COMPUTED_VALUE"""),"ja")</f>
        <v>ja</v>
      </c>
      <c r="Z96" s="14"/>
      <c r="AA96" s="14"/>
      <c r="AB96" s="14" t="str">
        <f ca="1">IFERROR(__xludf.DUMMYFUNCTION("""COMPUTED_VALUE"""),"x")</f>
        <v>x</v>
      </c>
      <c r="AC96" s="14" t="str">
        <f ca="1">IFERROR(__xludf.DUMMYFUNCTION("""COMPUTED_VALUE"""),"x")</f>
        <v>x</v>
      </c>
    </row>
    <row r="97" spans="1:29" ht="12.5" x14ac:dyDescent="0.25">
      <c r="A97" s="14" t="str">
        <f ca="1">IFERROR(__xludf.DUMMYFUNCTION("""COMPUTED_VALUE"""),"Camilla")</f>
        <v>Camilla</v>
      </c>
      <c r="B97" s="14" t="str">
        <f ca="1">IFERROR(__xludf.DUMMYFUNCTION("""COMPUTED_VALUE"""),"BoligOne Morten Dam Johansen")</f>
        <v>BoligOne Morten Dam Johansen</v>
      </c>
      <c r="C97" s="14">
        <f ca="1">IFERROR(__xludf.DUMMYFUNCTION("""COMPUTED_VALUE"""),31964296)</f>
        <v>31964296</v>
      </c>
      <c r="D97" s="14" t="str">
        <f ca="1">IFERROR(__xludf.DUMMYFUNCTION("""COMPUTED_VALUE"""),"MG-JY: 2.499,-")</f>
        <v>MG-JY: 2.499,-</v>
      </c>
      <c r="E97" s="14">
        <f ca="1">IFERROR(__xludf.DUMMYFUNCTION("""COMPUTED_VALUE"""),1201)</f>
        <v>1201</v>
      </c>
      <c r="F97" s="14" t="str">
        <f ca="1">IFERROR(__xludf.DUMMYFUNCTION("""COMPUTED_VALUE"""),"Morten Dam")</f>
        <v>Morten Dam</v>
      </c>
      <c r="G97" s="14" t="str">
        <f ca="1">IFERROR(__xludf.DUMMYFUNCTION("""COMPUTED_VALUE"""),"mdj@boligone.dk")</f>
        <v>mdj@boligone.dk</v>
      </c>
      <c r="H97" s="14">
        <f ca="1">IFERROR(__xludf.DUMMYFUNCTION("""COMPUTED_VALUE"""),24818030)</f>
        <v>24818030</v>
      </c>
      <c r="I97" s="14" t="str">
        <f ca="1">IFERROR(__xludf.DUMMYFUNCTION("""COMPUTED_VALUE"""),"Bakkestjernen 1")</f>
        <v>Bakkestjernen 1</v>
      </c>
      <c r="J97" s="14">
        <f ca="1">IFERROR(__xludf.DUMMYFUNCTION("""COMPUTED_VALUE"""),8700)</f>
        <v>8700</v>
      </c>
      <c r="K97" s="14" t="str">
        <f ca="1">IFERROR(__xludf.DUMMYFUNCTION("""COMPUTED_VALUE"""),"Horsens")</f>
        <v>Horsens</v>
      </c>
      <c r="L97" s="14" t="str">
        <f ca="1">IFERROR(__xludf.DUMMYFUNCTION("""COMPUTED_VALUE"""),"Horsens")</f>
        <v>Horsens</v>
      </c>
      <c r="M97" s="14" t="str">
        <f ca="1">IFERROR(__xludf.DUMMYFUNCTION("""COMPUTED_VALUE"""),"Østjylland")</f>
        <v>Østjylland</v>
      </c>
      <c r="N97" s="14" t="str">
        <f ca="1">IFERROR(__xludf.DUMMYFUNCTION("""COMPUTED_VALUE"""),"Midtjylland")</f>
        <v>Midtjylland</v>
      </c>
      <c r="O97" s="14">
        <f ca="1">IFERROR(__xludf.DUMMYFUNCTION("""COMPUTED_VALUE"""),24818030)</f>
        <v>24818030</v>
      </c>
      <c r="P97" s="14" t="str">
        <f ca="1">IFERROR(__xludf.DUMMYFUNCTION("""COMPUTED_VALUE"""),"mdj@boligone.dk")</f>
        <v>mdj@boligone.dk</v>
      </c>
      <c r="Q97" s="15" t="str">
        <f ca="1">IFERROR(__xludf.DUMMYFUNCTION("""COMPUTED_VALUE"""),"https://www.boliga.dk/maegler/644")</f>
        <v>https://www.boliga.dk/maegler/644</v>
      </c>
      <c r="R97" s="14" t="str">
        <f ca="1">IFERROR(__xludf.DUMMYFUNCTION("""COMPUTED_VALUE"""),"-")</f>
        <v>-</v>
      </c>
      <c r="S97" s="14" t="str">
        <f ca="1">IFERROR(__xludf.DUMMYFUNCTION("""COMPUTED_VALUE"""),"-")</f>
        <v>-</v>
      </c>
      <c r="T97" s="14" t="str">
        <f ca="1">IFERROR(__xludf.DUMMYFUNCTION("""COMPUTED_VALUE"""),"-")</f>
        <v>-</v>
      </c>
      <c r="U97" s="14">
        <f ca="1">IFERROR(__xludf.DUMMYFUNCTION("""COMPUTED_VALUE"""),1)</f>
        <v>1</v>
      </c>
      <c r="V97" s="14">
        <f ca="1">IFERROR(__xludf.DUMMYFUNCTION("""COMPUTED_VALUE"""),8700)</f>
        <v>8700</v>
      </c>
      <c r="W97" s="14" t="str">
        <f ca="1">IFERROR(__xludf.DUMMYFUNCTION("""COMPUTED_VALUE"""),"-")</f>
        <v>-</v>
      </c>
      <c r="X97" s="14" t="str">
        <f ca="1">IFERROR(__xludf.DUMMYFUNCTION("""COMPUTED_VALUE"""),"-")</f>
        <v>-</v>
      </c>
      <c r="Y97" s="14" t="str">
        <f ca="1">IFERROR(__xludf.DUMMYFUNCTION("""COMPUTED_VALUE"""),"ja")</f>
        <v>ja</v>
      </c>
      <c r="Z97" s="14"/>
      <c r="AA97" s="14"/>
      <c r="AB97" s="14" t="str">
        <f ca="1">IFERROR(__xludf.DUMMYFUNCTION("""COMPUTED_VALUE"""),"x")</f>
        <v>x</v>
      </c>
      <c r="AC97" s="14" t="str">
        <f ca="1">IFERROR(__xludf.DUMMYFUNCTION("""COMPUTED_VALUE"""),"x")</f>
        <v>x</v>
      </c>
    </row>
    <row r="98" spans="1:29" ht="12.5" x14ac:dyDescent="0.25">
      <c r="A98" s="14" t="str">
        <f ca="1">IFERROR(__xludf.DUMMYFUNCTION("""COMPUTED_VALUE"""),"Camilla")</f>
        <v>Camilla</v>
      </c>
      <c r="B98" s="14" t="str">
        <f ca="1">IFERROR(__xludf.DUMMYFUNCTION("""COMPUTED_VALUE"""),"BoligOne v/ Morten Dam Johansen")</f>
        <v>BoligOne v/ Morten Dam Johansen</v>
      </c>
      <c r="C98" s="14">
        <f ca="1">IFERROR(__xludf.DUMMYFUNCTION("""COMPUTED_VALUE"""),31964296)</f>
        <v>31964296</v>
      </c>
      <c r="D98" s="14" t="str">
        <f ca="1">IFERROR(__xludf.DUMMYFUNCTION("""COMPUTED_VALUE"""),"MG-JY: 2.499,-")</f>
        <v>MG-JY: 2.499,-</v>
      </c>
      <c r="E98" s="14">
        <f ca="1">IFERROR(__xludf.DUMMYFUNCTION("""COMPUTED_VALUE"""),1201)</f>
        <v>1201</v>
      </c>
      <c r="F98" s="14" t="str">
        <f ca="1">IFERROR(__xludf.DUMMYFUNCTION("""COMPUTED_VALUE"""),"Morten Dam")</f>
        <v>Morten Dam</v>
      </c>
      <c r="G98" s="14" t="str">
        <f ca="1">IFERROR(__xludf.DUMMYFUNCTION("""COMPUTED_VALUE"""),"mdj@boligone.dk")</f>
        <v>mdj@boligone.dk</v>
      </c>
      <c r="H98" s="14">
        <f ca="1">IFERROR(__xludf.DUMMYFUNCTION("""COMPUTED_VALUE"""),24818030)</f>
        <v>24818030</v>
      </c>
      <c r="I98" s="14" t="str">
        <f ca="1">IFERROR(__xludf.DUMMYFUNCTION("""COMPUTED_VALUE"""),"Bakkestjernen 1")</f>
        <v>Bakkestjernen 1</v>
      </c>
      <c r="J98" s="14">
        <f ca="1">IFERROR(__xludf.DUMMYFUNCTION("""COMPUTED_VALUE"""),8700)</f>
        <v>8700</v>
      </c>
      <c r="K98" s="14" t="str">
        <f ca="1">IFERROR(__xludf.DUMMYFUNCTION("""COMPUTED_VALUE"""),"Horsens")</f>
        <v>Horsens</v>
      </c>
      <c r="L98" s="14" t="str">
        <f ca="1">IFERROR(__xludf.DUMMYFUNCTION("""COMPUTED_VALUE"""),"Horsens")</f>
        <v>Horsens</v>
      </c>
      <c r="M98" s="14" t="str">
        <f ca="1">IFERROR(__xludf.DUMMYFUNCTION("""COMPUTED_VALUE"""),"Østjylland")</f>
        <v>Østjylland</v>
      </c>
      <c r="N98" s="14" t="str">
        <f ca="1">IFERROR(__xludf.DUMMYFUNCTION("""COMPUTED_VALUE"""),"Midtjylland")</f>
        <v>Midtjylland</v>
      </c>
      <c r="O98" s="14">
        <f ca="1">IFERROR(__xludf.DUMMYFUNCTION("""COMPUTED_VALUE"""),24818030)</f>
        <v>24818030</v>
      </c>
      <c r="P98" s="14" t="str">
        <f ca="1">IFERROR(__xludf.DUMMYFUNCTION("""COMPUTED_VALUE"""),"mdj@boligone.dk")</f>
        <v>mdj@boligone.dk</v>
      </c>
      <c r="Q98" s="15" t="str">
        <f ca="1">IFERROR(__xludf.DUMMYFUNCTION("""COMPUTED_VALUE"""),"https://www.boliga.dk/maegler/28359")</f>
        <v>https://www.boliga.dk/maegler/28359</v>
      </c>
      <c r="R98" s="14" t="str">
        <f ca="1">IFERROR(__xludf.DUMMYFUNCTION("""COMPUTED_VALUE"""),"-")</f>
        <v>-</v>
      </c>
      <c r="S98" s="14" t="str">
        <f ca="1">IFERROR(__xludf.DUMMYFUNCTION("""COMPUTED_VALUE"""),"-")</f>
        <v>-</v>
      </c>
      <c r="T98" s="14" t="str">
        <f ca="1">IFERROR(__xludf.DUMMYFUNCTION("""COMPUTED_VALUE"""),"-")</f>
        <v>-</v>
      </c>
      <c r="U98" s="14">
        <f ca="1">IFERROR(__xludf.DUMMYFUNCTION("""COMPUTED_VALUE"""),8)</f>
        <v>8</v>
      </c>
      <c r="V98" s="14" t="str">
        <f ca="1">IFERROR(__xludf.DUMMYFUNCTION("""COMPUTED_VALUE"""),"8700, 7130, 7150")</f>
        <v>8700, 7130, 7150</v>
      </c>
      <c r="W98" s="14">
        <f ca="1">IFERROR(__xludf.DUMMYFUNCTION("""COMPUTED_VALUE"""),7)</f>
        <v>7</v>
      </c>
      <c r="X98" s="14">
        <f ca="1">IFERROR(__xludf.DUMMYFUNCTION("""COMPUTED_VALUE"""),8700)</f>
        <v>8700</v>
      </c>
      <c r="Y98" s="14" t="str">
        <f ca="1">IFERROR(__xludf.DUMMYFUNCTION("""COMPUTED_VALUE"""),"ja")</f>
        <v>ja</v>
      </c>
      <c r="Z98" s="14"/>
      <c r="AA98" s="14"/>
      <c r="AB98" s="14" t="str">
        <f ca="1">IFERROR(__xludf.DUMMYFUNCTION("""COMPUTED_VALUE"""),"x")</f>
        <v>x</v>
      </c>
      <c r="AC98" s="14" t="str">
        <f ca="1">IFERROR(__xludf.DUMMYFUNCTION("""COMPUTED_VALUE"""),"x")</f>
        <v>x</v>
      </c>
    </row>
    <row r="99" spans="1:29" ht="12.5" x14ac:dyDescent="0.25">
      <c r="A99" s="14" t="str">
        <f ca="1">IFERROR(__xludf.DUMMYFUNCTION("""COMPUTED_VALUE"""),"Camilla")</f>
        <v>Camilla</v>
      </c>
      <c r="B99" s="14" t="str">
        <f ca="1">IFERROR(__xludf.DUMMYFUNCTION("""COMPUTED_VALUE"""),"Brande Boligsalg V/ Charlotte Brøchner")</f>
        <v>Brande Boligsalg V/ Charlotte Brøchner</v>
      </c>
      <c r="C99" s="14">
        <f ca="1">IFERROR(__xludf.DUMMYFUNCTION("""COMPUTED_VALUE"""),38985922)</f>
        <v>38985922</v>
      </c>
      <c r="D99" s="14" t="str">
        <f ca="1">IFERROR(__xludf.DUMMYFUNCTION("""COMPUTED_VALUE"""),"MG-JY: 2.499,-")</f>
        <v>MG-JY: 2.499,-</v>
      </c>
      <c r="E99" s="14">
        <f ca="1">IFERROR(__xludf.DUMMYFUNCTION("""COMPUTED_VALUE"""),1201)</f>
        <v>1201</v>
      </c>
      <c r="F99" s="14" t="str">
        <f ca="1">IFERROR(__xludf.DUMMYFUNCTION("""COMPUTED_VALUE"""),"Charlotte Brøchner")</f>
        <v>Charlotte Brøchner</v>
      </c>
      <c r="G99" s="15" t="str">
        <f ca="1">IFERROR(__xludf.DUMMYFUNCTION("""COMPUTED_VALUE"""),"cb@brandeboligsalg.dk")</f>
        <v>cb@brandeboligsalg.dk</v>
      </c>
      <c r="H99" s="14">
        <f ca="1">IFERROR(__xludf.DUMMYFUNCTION("""COMPUTED_VALUE"""),20942044)</f>
        <v>20942044</v>
      </c>
      <c r="I99" s="14" t="str">
        <f ca="1">IFERROR(__xludf.DUMMYFUNCTION("""COMPUTED_VALUE"""),"Storegade 5")</f>
        <v>Storegade 5</v>
      </c>
      <c r="J99" s="14">
        <f ca="1">IFERROR(__xludf.DUMMYFUNCTION("""COMPUTED_VALUE"""),7330)</f>
        <v>7330</v>
      </c>
      <c r="K99" s="14" t="str">
        <f ca="1">IFERROR(__xludf.DUMMYFUNCTION("""COMPUTED_VALUE"""),"Brande")</f>
        <v>Brande</v>
      </c>
      <c r="L99" s="14" t="str">
        <f ca="1">IFERROR(__xludf.DUMMYFUNCTION("""COMPUTED_VALUE"""),"Ikast-Brande")</f>
        <v>Ikast-Brande</v>
      </c>
      <c r="M99" s="14" t="str">
        <f ca="1">IFERROR(__xludf.DUMMYFUNCTION("""COMPUTED_VALUE"""),"Vestjylland")</f>
        <v>Vestjylland</v>
      </c>
      <c r="N99" s="14" t="str">
        <f ca="1">IFERROR(__xludf.DUMMYFUNCTION("""COMPUTED_VALUE"""),"Midtjylland")</f>
        <v>Midtjylland</v>
      </c>
      <c r="O99" s="14">
        <f ca="1">IFERROR(__xludf.DUMMYFUNCTION("""COMPUTED_VALUE"""),60395240)</f>
        <v>60395240</v>
      </c>
      <c r="P99" s="14" t="str">
        <f ca="1">IFERROR(__xludf.DUMMYFUNCTION("""COMPUTED_VALUE"""),"info@brandeboligsalg.dk")</f>
        <v>info@brandeboligsalg.dk</v>
      </c>
      <c r="Q99" s="15" t="str">
        <f ca="1">IFERROR(__xludf.DUMMYFUNCTION("""COMPUTED_VALUE"""),"https://www.boliga.dk/maegler/17229")</f>
        <v>https://www.boliga.dk/maegler/17229</v>
      </c>
      <c r="R99" s="14" t="str">
        <f ca="1">IFERROR(__xludf.DUMMYFUNCTION("""COMPUTED_VALUE"""),"-")</f>
        <v>-</v>
      </c>
      <c r="S99" s="14" t="str">
        <f ca="1">IFERROR(__xludf.DUMMYFUNCTION("""COMPUTED_VALUE"""),"-")</f>
        <v>-</v>
      </c>
      <c r="T99" s="14" t="str">
        <f ca="1">IFERROR(__xludf.DUMMYFUNCTION("""COMPUTED_VALUE"""),"-")</f>
        <v>-</v>
      </c>
      <c r="U99" s="14">
        <f ca="1">IFERROR(__xludf.DUMMYFUNCTION("""COMPUTED_VALUE"""),31)</f>
        <v>31</v>
      </c>
      <c r="V99" s="14" t="str">
        <f ca="1">IFERROR(__xludf.DUMMYFUNCTION("""COMPUTED_VALUE"""),"7323, 7361, 7742, 6933, 7400, 7330")</f>
        <v>7323, 7361, 7742, 6933, 7400, 7330</v>
      </c>
      <c r="W99" s="14">
        <f ca="1">IFERROR(__xludf.DUMMYFUNCTION("""COMPUTED_VALUE"""),11)</f>
        <v>11</v>
      </c>
      <c r="X99" s="14" t="str">
        <f ca="1">IFERROR(__xludf.DUMMYFUNCTION("""COMPUTED_VALUE"""),"7280, 7330, 7323, 7400")</f>
        <v>7280, 7330, 7323, 7400</v>
      </c>
      <c r="Y99" s="14" t="str">
        <f ca="1">IFERROR(__xludf.DUMMYFUNCTION("""COMPUTED_VALUE"""),"ja")</f>
        <v>ja</v>
      </c>
      <c r="Z99" s="14"/>
      <c r="AA99" s="14"/>
      <c r="AB99" s="14" t="str">
        <f ca="1">IFERROR(__xludf.DUMMYFUNCTION("""COMPUTED_VALUE"""),"x")</f>
        <v>x</v>
      </c>
      <c r="AC99" s="14" t="str">
        <f ca="1">IFERROR(__xludf.DUMMYFUNCTION("""COMPUTED_VALUE"""),"x")</f>
        <v>x</v>
      </c>
    </row>
    <row r="100" spans="1:29" ht="12.5" x14ac:dyDescent="0.25">
      <c r="A100" s="14" t="str">
        <f ca="1">IFERROR(__xludf.DUMMYFUNCTION("""COMPUTED_VALUE"""),"Camilla")</f>
        <v>Camilla</v>
      </c>
      <c r="B100" s="14" t="str">
        <f ca="1">IFERROR(__xludf.DUMMYFUNCTION("""COMPUTED_VALUE"""),"CD Bolig - Lene Bang &amp; Søren Bregnhøj")</f>
        <v>CD Bolig - Lene Bang &amp; Søren Bregnhøj</v>
      </c>
      <c r="C100" s="14">
        <f ca="1">IFERROR(__xludf.DUMMYFUNCTION("""COMPUTED_VALUE"""),41145005)</f>
        <v>41145005</v>
      </c>
      <c r="D100" s="14" t="str">
        <f ca="1">IFERROR(__xludf.DUMMYFUNCTION("""COMPUTED_VALUE"""),"MG-JY: 2.499,-")</f>
        <v>MG-JY: 2.499,-</v>
      </c>
      <c r="E100" s="14">
        <f ca="1">IFERROR(__xludf.DUMMYFUNCTION("""COMPUTED_VALUE"""),1201)</f>
        <v>1201</v>
      </c>
      <c r="F100" s="14" t="str">
        <f ca="1">IFERROR(__xludf.DUMMYFUNCTION("""COMPUTED_VALUE"""),"Pernille Lind")</f>
        <v>Pernille Lind</v>
      </c>
      <c r="G100" s="14" t="str">
        <f ca="1">IFERROR(__xludf.DUMMYFUNCTION("""COMPUTED_VALUE"""),"pl@cdbolig.dk")</f>
        <v>pl@cdbolig.dk</v>
      </c>
      <c r="H100" s="14">
        <f ca="1">IFERROR(__xludf.DUMMYFUNCTION("""COMPUTED_VALUE"""),23636894)</f>
        <v>23636894</v>
      </c>
      <c r="I100" s="14" t="str">
        <f ca="1">IFERROR(__xludf.DUMMYFUNCTION("""COMPUTED_VALUE"""),"Borgergade 14")</f>
        <v>Borgergade 14</v>
      </c>
      <c r="J100" s="14">
        <f ca="1">IFERROR(__xludf.DUMMYFUNCTION("""COMPUTED_VALUE"""),8600)</f>
        <v>8600</v>
      </c>
      <c r="K100" s="14" t="str">
        <f ca="1">IFERROR(__xludf.DUMMYFUNCTION("""COMPUTED_VALUE"""),"Silkeborg")</f>
        <v>Silkeborg</v>
      </c>
      <c r="L100" s="14" t="str">
        <f ca="1">IFERROR(__xludf.DUMMYFUNCTION("""COMPUTED_VALUE"""),"Silkeborg")</f>
        <v>Silkeborg</v>
      </c>
      <c r="M100" s="14" t="str">
        <f ca="1">IFERROR(__xludf.DUMMYFUNCTION("""COMPUTED_VALUE"""),"Østjylland")</f>
        <v>Østjylland</v>
      </c>
      <c r="N100" s="14" t="str">
        <f ca="1">IFERROR(__xludf.DUMMYFUNCTION("""COMPUTED_VALUE"""),"Midtjylland")</f>
        <v>Midtjylland</v>
      </c>
      <c r="O100" s="14">
        <f ca="1">IFERROR(__xludf.DUMMYFUNCTION("""COMPUTED_VALUE"""),86382300)</f>
        <v>86382300</v>
      </c>
      <c r="P100" s="14" t="str">
        <f ca="1">IFERROR(__xludf.DUMMYFUNCTION("""COMPUTED_VALUE"""),"sb@cdbolig.dk")</f>
        <v>sb@cdbolig.dk</v>
      </c>
      <c r="Q100" s="15" t="str">
        <f ca="1">IFERROR(__xludf.DUMMYFUNCTION("""COMPUTED_VALUE"""),"https://www.boliga.dk/maegler/26905")</f>
        <v>https://www.boliga.dk/maegler/26905</v>
      </c>
      <c r="R100" s="14" t="str">
        <f ca="1">IFERROR(__xludf.DUMMYFUNCTION("""COMPUTED_VALUE"""),"-")</f>
        <v>-</v>
      </c>
      <c r="S100" s="14" t="str">
        <f ca="1">IFERROR(__xludf.DUMMYFUNCTION("""COMPUTED_VALUE"""),"-")</f>
        <v>-</v>
      </c>
      <c r="T100" s="14" t="str">
        <f ca="1">IFERROR(__xludf.DUMMYFUNCTION("""COMPUTED_VALUE"""),"-")</f>
        <v>-</v>
      </c>
      <c r="U100" s="14">
        <f ca="1">IFERROR(__xludf.DUMMYFUNCTION("""COMPUTED_VALUE"""),26)</f>
        <v>26</v>
      </c>
      <c r="V100" s="14" t="str">
        <f ca="1">IFERROR(__xludf.DUMMYFUNCTION("""COMPUTED_VALUE"""),"8600, 7441, 8632, 8653, 7442, 8620")</f>
        <v>8600, 7441, 8632, 8653, 7442, 8620</v>
      </c>
      <c r="W100" s="14">
        <f ca="1">IFERROR(__xludf.DUMMYFUNCTION("""COMPUTED_VALUE"""),15)</f>
        <v>15</v>
      </c>
      <c r="X100" s="14" t="str">
        <f ca="1">IFERROR(__xludf.DUMMYFUNCTION("""COMPUTED_VALUE"""),"8882, 8654, 8600, 8832")</f>
        <v>8882, 8654, 8600, 8832</v>
      </c>
      <c r="Y100" s="14" t="str">
        <f ca="1">IFERROR(__xludf.DUMMYFUNCTION("""COMPUTED_VALUE"""),"ja")</f>
        <v>ja</v>
      </c>
      <c r="Z100" s="14"/>
      <c r="AA100" s="14"/>
      <c r="AB100" s="14" t="str">
        <f ca="1">IFERROR(__xludf.DUMMYFUNCTION("""COMPUTED_VALUE"""),"x")</f>
        <v>x</v>
      </c>
      <c r="AC100" s="14" t="str">
        <f ca="1">IFERROR(__xludf.DUMMYFUNCTION("""COMPUTED_VALUE"""),"x")</f>
        <v>x</v>
      </c>
    </row>
    <row r="101" spans="1:29" ht="12.5" x14ac:dyDescent="0.25">
      <c r="A101" s="14" t="str">
        <f ca="1">IFERROR(__xludf.DUMMYFUNCTION("""COMPUTED_VALUE"""),"Camilla")</f>
        <v>Camilla</v>
      </c>
      <c r="B101" s="14" t="str">
        <f ca="1">IFERROR(__xludf.DUMMYFUNCTION("""COMPUTED_VALUE"""),"Claus Grønne")</f>
        <v>Claus Grønne</v>
      </c>
      <c r="C101" s="14">
        <f ca="1">IFERROR(__xludf.DUMMYFUNCTION("""COMPUTED_VALUE"""),24259072)</f>
        <v>24259072</v>
      </c>
      <c r="D101" s="14" t="str">
        <f ca="1">IFERROR(__xludf.DUMMYFUNCTION("""COMPUTED_VALUE"""),"MG-JY: 2.499,-")</f>
        <v>MG-JY: 2.499,-</v>
      </c>
      <c r="E101" s="14">
        <f ca="1">IFERROR(__xludf.DUMMYFUNCTION("""COMPUTED_VALUE"""),1201)</f>
        <v>1201</v>
      </c>
      <c r="F101" s="14" t="str">
        <f ca="1">IFERROR(__xludf.DUMMYFUNCTION("""COMPUTED_VALUE"""),"Claus Grønne")</f>
        <v>Claus Grønne</v>
      </c>
      <c r="G101" s="14" t="str">
        <f ca="1">IFERROR(__xludf.DUMMYFUNCTION("""COMPUTED_VALUE"""),"cg@clausgroenne.dk")</f>
        <v>cg@clausgroenne.dk</v>
      </c>
      <c r="H101" s="14">
        <f ca="1">IFERROR(__xludf.DUMMYFUNCTION("""COMPUTED_VALUE"""),40596444)</f>
        <v>40596444</v>
      </c>
      <c r="I101" s="14" t="str">
        <f ca="1">IFERROR(__xludf.DUMMYFUNCTION("""COMPUTED_VALUE"""),"Østergade 8-10")</f>
        <v>Østergade 8-10</v>
      </c>
      <c r="J101" s="14">
        <f ca="1">IFERROR(__xludf.DUMMYFUNCTION("""COMPUTED_VALUE"""),8600)</f>
        <v>8600</v>
      </c>
      <c r="K101" s="14" t="str">
        <f ca="1">IFERROR(__xludf.DUMMYFUNCTION("""COMPUTED_VALUE"""),"Silkeborg")</f>
        <v>Silkeborg</v>
      </c>
      <c r="L101" s="14" t="str">
        <f ca="1">IFERROR(__xludf.DUMMYFUNCTION("""COMPUTED_VALUE"""),"Silkeborg")</f>
        <v>Silkeborg</v>
      </c>
      <c r="M101" s="14" t="str">
        <f ca="1">IFERROR(__xludf.DUMMYFUNCTION("""COMPUTED_VALUE"""),"Østjylland")</f>
        <v>Østjylland</v>
      </c>
      <c r="N101" s="14" t="str">
        <f ca="1">IFERROR(__xludf.DUMMYFUNCTION("""COMPUTED_VALUE"""),"Midtjylland")</f>
        <v>Midtjylland</v>
      </c>
      <c r="O101" s="14">
        <f ca="1">IFERROR(__xludf.DUMMYFUNCTION("""COMPUTED_VALUE"""),86816444)</f>
        <v>86816444</v>
      </c>
      <c r="P101" s="14" t="str">
        <f ca="1">IFERROR(__xludf.DUMMYFUNCTION("""COMPUTED_VALUE"""),"mail@clausgroenne.dk")</f>
        <v>mail@clausgroenne.dk</v>
      </c>
      <c r="Q101" s="15" t="str">
        <f ca="1">IFERROR(__xludf.DUMMYFUNCTION("""COMPUTED_VALUE"""),"https://www.boliga.dk/maegler/18759")</f>
        <v>https://www.boliga.dk/maegler/18759</v>
      </c>
      <c r="R101" s="14" t="str">
        <f ca="1">IFERROR(__xludf.DUMMYFUNCTION("""COMPUTED_VALUE"""),"-")</f>
        <v>-</v>
      </c>
      <c r="S101" s="14" t="str">
        <f ca="1">IFERROR(__xludf.DUMMYFUNCTION("""COMPUTED_VALUE"""),"-")</f>
        <v>-</v>
      </c>
      <c r="T101" s="14" t="str">
        <f ca="1">IFERROR(__xludf.DUMMYFUNCTION("""COMPUTED_VALUE"""),"-")</f>
        <v>-</v>
      </c>
      <c r="U101" s="14">
        <f ca="1">IFERROR(__xludf.DUMMYFUNCTION("""COMPUTED_VALUE"""),11)</f>
        <v>11</v>
      </c>
      <c r="V101" s="14" t="str">
        <f ca="1">IFERROR(__xludf.DUMMYFUNCTION("""COMPUTED_VALUE"""),"8643, 8600, 8632")</f>
        <v>8643, 8600, 8632</v>
      </c>
      <c r="W101" s="14">
        <f ca="1">IFERROR(__xludf.DUMMYFUNCTION("""COMPUTED_VALUE"""),13)</f>
        <v>13</v>
      </c>
      <c r="X101" s="14" t="str">
        <f ca="1">IFERROR(__xludf.DUMMYFUNCTION("""COMPUTED_VALUE"""),"8632, 8600, 8620, 8654")</f>
        <v>8632, 8600, 8620, 8654</v>
      </c>
      <c r="Y101" s="14" t="str">
        <f ca="1">IFERROR(__xludf.DUMMYFUNCTION("""COMPUTED_VALUE"""),"ja")</f>
        <v>ja</v>
      </c>
      <c r="Z101" s="14"/>
      <c r="AA101" s="14"/>
      <c r="AB101" s="14" t="str">
        <f ca="1">IFERROR(__xludf.DUMMYFUNCTION("""COMPUTED_VALUE"""),"x")</f>
        <v>x</v>
      </c>
      <c r="AC101" s="14" t="str">
        <f ca="1">IFERROR(__xludf.DUMMYFUNCTION("""COMPUTED_VALUE"""),"x")</f>
        <v>x</v>
      </c>
    </row>
    <row r="102" spans="1:29" ht="12.5" x14ac:dyDescent="0.25">
      <c r="A102" s="14" t="str">
        <f ca="1">IFERROR(__xludf.DUMMYFUNCTION("""COMPUTED_VALUE"""),"Camilla")</f>
        <v>Camilla</v>
      </c>
      <c r="B102" s="14" t="str">
        <f ca="1">IFERROR(__xludf.DUMMYFUNCTION("""COMPUTED_VALUE"""),"EJENDOMSCENTRET")</f>
        <v>EJENDOMSCENTRET</v>
      </c>
      <c r="C102" s="14">
        <f ca="1">IFERROR(__xludf.DUMMYFUNCTION("""COMPUTED_VALUE"""),27430090)</f>
        <v>27430090</v>
      </c>
      <c r="D102" s="14" t="str">
        <f ca="1">IFERROR(__xludf.DUMMYFUNCTION("""COMPUTED_VALUE"""),"MG-JY: 2.499,-")</f>
        <v>MG-JY: 2.499,-</v>
      </c>
      <c r="E102" s="14">
        <f ca="1">IFERROR(__xludf.DUMMYFUNCTION("""COMPUTED_VALUE"""),1201)</f>
        <v>1201</v>
      </c>
      <c r="F102" s="14" t="str">
        <f ca="1">IFERROR(__xludf.DUMMYFUNCTION("""COMPUTED_VALUE"""),"Morten Skovbo")</f>
        <v>Morten Skovbo</v>
      </c>
      <c r="G102" s="14" t="str">
        <f ca="1">IFERROR(__xludf.DUMMYFUNCTION("""COMPUTED_VALUE"""),"ec-e@mail.dk")</f>
        <v>ec-e@mail.dk</v>
      </c>
      <c r="H102" s="14">
        <f ca="1">IFERROR(__xludf.DUMMYFUNCTION("""COMPUTED_VALUE"""),24285599)</f>
        <v>24285599</v>
      </c>
      <c r="I102" s="14" t="str">
        <f ca="1">IFERROR(__xludf.DUMMYFUNCTION("""COMPUTED_VALUE"""),"Skadevej 26")</f>
        <v>Skadevej 26</v>
      </c>
      <c r="J102" s="14">
        <f ca="1">IFERROR(__xludf.DUMMYFUNCTION("""COMPUTED_VALUE"""),8765)</f>
        <v>8765</v>
      </c>
      <c r="K102" s="14" t="str">
        <f ca="1">IFERROR(__xludf.DUMMYFUNCTION("""COMPUTED_VALUE"""),"Klovborg")</f>
        <v>Klovborg</v>
      </c>
      <c r="L102" s="14" t="str">
        <f ca="1">IFERROR(__xludf.DUMMYFUNCTION("""COMPUTED_VALUE"""),"Ikast-Brande")</f>
        <v>Ikast-Brande</v>
      </c>
      <c r="M102" s="14" t="str">
        <f ca="1">IFERROR(__xludf.DUMMYFUNCTION("""COMPUTED_VALUE"""),"Vestjylland")</f>
        <v>Vestjylland</v>
      </c>
      <c r="N102" s="14" t="str">
        <f ca="1">IFERROR(__xludf.DUMMYFUNCTION("""COMPUTED_VALUE"""),"Midtjylland")</f>
        <v>Midtjylland</v>
      </c>
      <c r="O102" s="14">
        <f ca="1">IFERROR(__xludf.DUMMYFUNCTION("""COMPUTED_VALUE"""),24285599)</f>
        <v>24285599</v>
      </c>
      <c r="P102" s="14" t="str">
        <f ca="1">IFERROR(__xludf.DUMMYFUNCTION("""COMPUTED_VALUE"""),"ec-e@mail.dk")</f>
        <v>ec-e@mail.dk</v>
      </c>
      <c r="Q102" s="15" t="str">
        <f ca="1">IFERROR(__xludf.DUMMYFUNCTION("""COMPUTED_VALUE"""),"https://www.boliga.dk/maegler/26331")</f>
        <v>https://www.boliga.dk/maegler/26331</v>
      </c>
      <c r="R102" s="14" t="str">
        <f ca="1">IFERROR(__xludf.DUMMYFUNCTION("""COMPUTED_VALUE"""),"-")</f>
        <v>-</v>
      </c>
      <c r="S102" s="14" t="str">
        <f ca="1">IFERROR(__xludf.DUMMYFUNCTION("""COMPUTED_VALUE"""),"-")</f>
        <v>-</v>
      </c>
      <c r="T102" s="14" t="str">
        <f ca="1">IFERROR(__xludf.DUMMYFUNCTION("""COMPUTED_VALUE"""),"-")</f>
        <v>-</v>
      </c>
      <c r="U102" s="14">
        <f ca="1">IFERROR(__xludf.DUMMYFUNCTION("""COMPUTED_VALUE"""),13)</f>
        <v>13</v>
      </c>
      <c r="V102" s="14" t="str">
        <f ca="1">IFERROR(__xludf.DUMMYFUNCTION("""COMPUTED_VALUE"""),"7950, 7361, 8783, 7362, 6990, 8766, 7673, 8765")</f>
        <v>7950, 7361, 8783, 7362, 6990, 8766, 7673, 8765</v>
      </c>
      <c r="W102" s="14">
        <f ca="1">IFERROR(__xludf.DUMMYFUNCTION("""COMPUTED_VALUE"""),10)</f>
        <v>10</v>
      </c>
      <c r="X102" s="14" t="str">
        <f ca="1">IFERROR(__xludf.DUMMYFUNCTION("""COMPUTED_VALUE"""),"7361, 8740, 7362, 8751, 8700, 8765")</f>
        <v>7361, 8740, 7362, 8751, 8700, 8765</v>
      </c>
      <c r="Y102" s="14" t="str">
        <f ca="1">IFERROR(__xludf.DUMMYFUNCTION("""COMPUTED_VALUE"""),"ja")</f>
        <v>ja</v>
      </c>
      <c r="Z102" s="14"/>
      <c r="AA102" s="14"/>
      <c r="AB102" s="14" t="str">
        <f ca="1">IFERROR(__xludf.DUMMYFUNCTION("""COMPUTED_VALUE"""),"x")</f>
        <v>x</v>
      </c>
      <c r="AC102" s="14" t="str">
        <f ca="1">IFERROR(__xludf.DUMMYFUNCTION("""COMPUTED_VALUE"""),"x")</f>
        <v>x</v>
      </c>
    </row>
    <row r="103" spans="1:29" ht="12.5" x14ac:dyDescent="0.25">
      <c r="A103" s="14" t="str">
        <f ca="1">IFERROR(__xludf.DUMMYFUNCTION("""COMPUTED_VALUE"""),"Camilla")</f>
        <v>Camilla</v>
      </c>
      <c r="B103" s="14" t="str">
        <f ca="1">IFERROR(__xludf.DUMMYFUNCTION("""COMPUTED_VALUE"""),"Ejendomsmæglerfirmaet Berg Halager ApS")</f>
        <v>Ejendomsmæglerfirmaet Berg Halager ApS</v>
      </c>
      <c r="C103" s="14">
        <f ca="1">IFERROR(__xludf.DUMMYFUNCTION("""COMPUTED_VALUE"""),40984453)</f>
        <v>40984453</v>
      </c>
      <c r="D103" s="14" t="str">
        <f ca="1">IFERROR(__xludf.DUMMYFUNCTION("""COMPUTED_VALUE"""),"MG-JY: 2.499,-")</f>
        <v>MG-JY: 2.499,-</v>
      </c>
      <c r="E103" s="14">
        <f ca="1">IFERROR(__xludf.DUMMYFUNCTION("""COMPUTED_VALUE"""),1201)</f>
        <v>1201</v>
      </c>
      <c r="F103" s="14" t="str">
        <f ca="1">IFERROR(__xludf.DUMMYFUNCTION("""COMPUTED_VALUE"""),"Kristian Halager")</f>
        <v>Kristian Halager</v>
      </c>
      <c r="G103" s="14" t="str">
        <f ca="1">IFERROR(__xludf.DUMMYFUNCTION("""COMPUTED_VALUE"""),"kristian@berghalager.dk")</f>
        <v>kristian@berghalager.dk</v>
      </c>
      <c r="H103" s="14">
        <f ca="1">IFERROR(__xludf.DUMMYFUNCTION("""COMPUTED_VALUE"""),40436446)</f>
        <v>40436446</v>
      </c>
      <c r="I103" s="14" t="str">
        <f ca="1">IFERROR(__xludf.DUMMYFUNCTION("""COMPUTED_VALUE"""),"Toftevej 5A")</f>
        <v>Toftevej 5A</v>
      </c>
      <c r="J103" s="14">
        <f ca="1">IFERROR(__xludf.DUMMYFUNCTION("""COMPUTED_VALUE"""),8543)</f>
        <v>8543</v>
      </c>
      <c r="K103" s="14" t="str">
        <f ca="1">IFERROR(__xludf.DUMMYFUNCTION("""COMPUTED_VALUE"""),"Hornslet")</f>
        <v>Hornslet</v>
      </c>
      <c r="L103" s="14" t="str">
        <f ca="1">IFERROR(__xludf.DUMMYFUNCTION("""COMPUTED_VALUE"""),"Syddjurs")</f>
        <v>Syddjurs</v>
      </c>
      <c r="M103" s="14" t="str">
        <f ca="1">IFERROR(__xludf.DUMMYFUNCTION("""COMPUTED_VALUE"""),"Østjylland")</f>
        <v>Østjylland</v>
      </c>
      <c r="N103" s="14" t="str">
        <f ca="1">IFERROR(__xludf.DUMMYFUNCTION("""COMPUTED_VALUE"""),"Midtjylland")</f>
        <v>Midtjylland</v>
      </c>
      <c r="O103" s="14">
        <f ca="1">IFERROR(__xludf.DUMMYFUNCTION("""COMPUTED_VALUE"""),86101010)</f>
        <v>86101010</v>
      </c>
      <c r="P103" s="14" t="str">
        <f ca="1">IFERROR(__xludf.DUMMYFUNCTION("""COMPUTED_VALUE"""),"info@berghalager.dk")</f>
        <v>info@berghalager.dk</v>
      </c>
      <c r="Q103" s="15" t="str">
        <f ca="1">IFERROR(__xludf.DUMMYFUNCTION("""COMPUTED_VALUE"""),"https://www.boliga.dk/maegler/26896")</f>
        <v>https://www.boliga.dk/maegler/26896</v>
      </c>
      <c r="R103" s="14" t="str">
        <f ca="1">IFERROR(__xludf.DUMMYFUNCTION("""COMPUTED_VALUE"""),"-")</f>
        <v>-</v>
      </c>
      <c r="S103" s="14" t="str">
        <f ca="1">IFERROR(__xludf.DUMMYFUNCTION("""COMPUTED_VALUE"""),"-")</f>
        <v>-</v>
      </c>
      <c r="T103" s="14" t="str">
        <f ca="1">IFERROR(__xludf.DUMMYFUNCTION("""COMPUTED_VALUE"""),"-")</f>
        <v>-</v>
      </c>
      <c r="U103" s="14">
        <f ca="1">IFERROR(__xludf.DUMMYFUNCTION("""COMPUTED_VALUE"""),7)</f>
        <v>7</v>
      </c>
      <c r="V103" s="14" t="str">
        <f ca="1">IFERROR(__xludf.DUMMYFUNCTION("""COMPUTED_VALUE"""),"8400, 8462, 8530, 8541, 8543")</f>
        <v>8400, 8462, 8530, 8541, 8543</v>
      </c>
      <c r="W103" s="14">
        <f ca="1">IFERROR(__xludf.DUMMYFUNCTION("""COMPUTED_VALUE"""),14)</f>
        <v>14</v>
      </c>
      <c r="X103" s="14" t="str">
        <f ca="1">IFERROR(__xludf.DUMMYFUNCTION("""COMPUTED_VALUE"""),"8400, 8000, 8240, 8530, 8320, 8541, 8543")</f>
        <v>8400, 8000, 8240, 8530, 8320, 8541, 8543</v>
      </c>
      <c r="Y103" s="14" t="str">
        <f ca="1">IFERROR(__xludf.DUMMYFUNCTION("""COMPUTED_VALUE"""),"ja")</f>
        <v>ja</v>
      </c>
      <c r="Z103" s="14"/>
      <c r="AA103" s="14"/>
      <c r="AB103" s="14" t="str">
        <f ca="1">IFERROR(__xludf.DUMMYFUNCTION("""COMPUTED_VALUE"""),"x")</f>
        <v>x</v>
      </c>
      <c r="AC103" s="14" t="str">
        <f ca="1">IFERROR(__xludf.DUMMYFUNCTION("""COMPUTED_VALUE"""),"x")</f>
        <v>x</v>
      </c>
    </row>
    <row r="104" spans="1:29" ht="12.5" x14ac:dyDescent="0.25">
      <c r="A104" s="14" t="str">
        <f ca="1">IFERROR(__xludf.DUMMYFUNCTION("""COMPUTED_VALUE"""),"Camilla")</f>
        <v>Camilla</v>
      </c>
      <c r="B104" s="14" t="str">
        <f ca="1">IFERROR(__xludf.DUMMYFUNCTION("""COMPUTED_VALUE"""),"Favoritbolig")</f>
        <v>Favoritbolig</v>
      </c>
      <c r="C104" s="14">
        <f ca="1">IFERROR(__xludf.DUMMYFUNCTION("""COMPUTED_VALUE"""),42603740)</f>
        <v>42603740</v>
      </c>
      <c r="D104" s="14" t="str">
        <f ca="1">IFERROR(__xludf.DUMMYFUNCTION("""COMPUTED_VALUE"""),"MG-JY: 2.499,-")</f>
        <v>MG-JY: 2.499,-</v>
      </c>
      <c r="E104" s="14">
        <f ca="1">IFERROR(__xludf.DUMMYFUNCTION("""COMPUTED_VALUE"""),1201)</f>
        <v>1201</v>
      </c>
      <c r="F104" s="14" t="str">
        <f ca="1">IFERROR(__xludf.DUMMYFUNCTION("""COMPUTED_VALUE"""),"Emil Møller")</f>
        <v>Emil Møller</v>
      </c>
      <c r="G104" s="14" t="str">
        <f ca="1">IFERROR(__xludf.DUMMYFUNCTION("""COMPUTED_VALUE"""),"Emil@favoritbolig.dk")</f>
        <v>Emil@favoritbolig.dk</v>
      </c>
      <c r="H104" s="14">
        <f ca="1">IFERROR(__xludf.DUMMYFUNCTION("""COMPUTED_VALUE"""),88444407)</f>
        <v>88444407</v>
      </c>
      <c r="I104" s="14" t="str">
        <f ca="1">IFERROR(__xludf.DUMMYFUNCTION("""COMPUTED_VALUE"""),"Vejlsøvej 51")</f>
        <v>Vejlsøvej 51</v>
      </c>
      <c r="J104" s="14">
        <f ca="1">IFERROR(__xludf.DUMMYFUNCTION("""COMPUTED_VALUE"""),8600)</f>
        <v>8600</v>
      </c>
      <c r="K104" s="14" t="str">
        <f ca="1">IFERROR(__xludf.DUMMYFUNCTION("""COMPUTED_VALUE"""),"Silkeborg")</f>
        <v>Silkeborg</v>
      </c>
      <c r="L104" s="14" t="str">
        <f ca="1">IFERROR(__xludf.DUMMYFUNCTION("""COMPUTED_VALUE"""),"Silkeborg")</f>
        <v>Silkeborg</v>
      </c>
      <c r="M104" s="14" t="str">
        <f ca="1">IFERROR(__xludf.DUMMYFUNCTION("""COMPUTED_VALUE"""),"Østjylland")</f>
        <v>Østjylland</v>
      </c>
      <c r="N104" s="14" t="str">
        <f ca="1">IFERROR(__xludf.DUMMYFUNCTION("""COMPUTED_VALUE"""),"Midtjylland")</f>
        <v>Midtjylland</v>
      </c>
      <c r="O104" s="14" t="str">
        <f ca="1">IFERROR(__xludf.DUMMYFUNCTION("""COMPUTED_VALUE"""),"8844 4407")</f>
        <v>8844 4407</v>
      </c>
      <c r="P104" s="14" t="str">
        <f ca="1">IFERROR(__xludf.DUMMYFUNCTION("""COMPUTED_VALUE"""),"Silkeborg@favoritbolig.dk")</f>
        <v>Silkeborg@favoritbolig.dk</v>
      </c>
      <c r="Q104" s="15" t="str">
        <f ca="1">IFERROR(__xludf.DUMMYFUNCTION("""COMPUTED_VALUE"""),"https://www.boliga.dk/maegler/28901")</f>
        <v>https://www.boliga.dk/maegler/28901</v>
      </c>
      <c r="R104" s="14" t="str">
        <f ca="1">IFERROR(__xludf.DUMMYFUNCTION("""COMPUTED_VALUE"""),"-")</f>
        <v>-</v>
      </c>
      <c r="S104" s="14" t="str">
        <f ca="1">IFERROR(__xludf.DUMMYFUNCTION("""COMPUTED_VALUE"""),"-")</f>
        <v>-</v>
      </c>
      <c r="T104" s="14" t="str">
        <f ca="1">IFERROR(__xludf.DUMMYFUNCTION("""COMPUTED_VALUE"""),"-")</f>
        <v>-</v>
      </c>
      <c r="U104" s="14">
        <f ca="1">IFERROR(__xludf.DUMMYFUNCTION("""COMPUTED_VALUE"""),16)</f>
        <v>16</v>
      </c>
      <c r="V104" s="14" t="str">
        <f ca="1">IFERROR(__xludf.DUMMYFUNCTION("""COMPUTED_VALUE"""),"8850, 8620, 8600, 9631")</f>
        <v>8850, 8620, 8600, 9631</v>
      </c>
      <c r="W104" s="14">
        <f ca="1">IFERROR(__xludf.DUMMYFUNCTION("""COMPUTED_VALUE"""),3)</f>
        <v>3</v>
      </c>
      <c r="X104" s="14">
        <f ca="1">IFERROR(__xludf.DUMMYFUNCTION("""COMPUTED_VALUE"""),8600)</f>
        <v>8600</v>
      </c>
      <c r="Y104" s="14" t="str">
        <f ca="1">IFERROR(__xludf.DUMMYFUNCTION("""COMPUTED_VALUE"""),"ja")</f>
        <v>ja</v>
      </c>
      <c r="Z104" s="14"/>
      <c r="AA104" s="14"/>
      <c r="AB104" s="14" t="str">
        <f ca="1">IFERROR(__xludf.DUMMYFUNCTION("""COMPUTED_VALUE"""),"x")</f>
        <v>x</v>
      </c>
      <c r="AC104" s="14" t="str">
        <f ca="1">IFERROR(__xludf.DUMMYFUNCTION("""COMPUTED_VALUE"""),"x")</f>
        <v>x</v>
      </c>
    </row>
    <row r="105" spans="1:29" ht="12.5" x14ac:dyDescent="0.25">
      <c r="A105" s="14" t="str">
        <f ca="1">IFERROR(__xludf.DUMMYFUNCTION("""COMPUTED_VALUE"""),"Camilla")</f>
        <v>Camilla</v>
      </c>
      <c r="B105" s="14" t="str">
        <f ca="1">IFERROR(__xludf.DUMMYFUNCTION("""COMPUTED_VALUE"""),"Jesper Nielsen Aarhus og Østjylland")</f>
        <v>Jesper Nielsen Aarhus og Østjylland</v>
      </c>
      <c r="C105" s="14">
        <f ca="1">IFERROR(__xludf.DUMMYFUNCTION("""COMPUTED_VALUE"""),42133671)</f>
        <v>42133671</v>
      </c>
      <c r="D105" s="14" t="str">
        <f ca="1">IFERROR(__xludf.DUMMYFUNCTION("""COMPUTED_VALUE"""),"MG-JY: 2.499,-")</f>
        <v>MG-JY: 2.499,-</v>
      </c>
      <c r="E105" s="14">
        <f ca="1">IFERROR(__xludf.DUMMYFUNCTION("""COMPUTED_VALUE"""),1201)</f>
        <v>1201</v>
      </c>
      <c r="F105" s="14" t="str">
        <f ca="1">IFERROR(__xludf.DUMMYFUNCTION("""COMPUTED_VALUE"""),"Christopher Lund")</f>
        <v>Christopher Lund</v>
      </c>
      <c r="G105" s="14" t="str">
        <f ca="1">IFERROR(__xludf.DUMMYFUNCTION("""COMPUTED_VALUE"""),"cl@jespernielsen.dk")</f>
        <v>cl@jespernielsen.dk</v>
      </c>
      <c r="H105" s="14">
        <f ca="1">IFERROR(__xludf.DUMMYFUNCTION("""COMPUTED_VALUE"""),60267306)</f>
        <v>60267306</v>
      </c>
      <c r="I105" s="14" t="str">
        <f ca="1">IFERROR(__xludf.DUMMYFUNCTION("""COMPUTED_VALUE"""),"Havnegade 16")</f>
        <v>Havnegade 16</v>
      </c>
      <c r="J105" s="14">
        <f ca="1">IFERROR(__xludf.DUMMYFUNCTION("""COMPUTED_VALUE"""),8000)</f>
        <v>8000</v>
      </c>
      <c r="K105" s="14" t="str">
        <f ca="1">IFERROR(__xludf.DUMMYFUNCTION("""COMPUTED_VALUE"""),"Aarhus C")</f>
        <v>Aarhus C</v>
      </c>
      <c r="L105" s="14" t="str">
        <f ca="1">IFERROR(__xludf.DUMMYFUNCTION("""COMPUTED_VALUE"""),"Aarhus")</f>
        <v>Aarhus</v>
      </c>
      <c r="M105" s="14" t="str">
        <f ca="1">IFERROR(__xludf.DUMMYFUNCTION("""COMPUTED_VALUE"""),"Østjylland")</f>
        <v>Østjylland</v>
      </c>
      <c r="N105" s="14" t="str">
        <f ca="1">IFERROR(__xludf.DUMMYFUNCTION("""COMPUTED_VALUE"""),"Midtjylland")</f>
        <v>Midtjylland</v>
      </c>
      <c r="O105" s="14">
        <f ca="1">IFERROR(__xludf.DUMMYFUNCTION("""COMPUTED_VALUE"""),88446000)</f>
        <v>88446000</v>
      </c>
      <c r="P105" s="14" t="str">
        <f ca="1">IFERROR(__xludf.DUMMYFUNCTION("""COMPUTED_VALUE"""),"findhjem8000@jespernielsen.dk")</f>
        <v>findhjem8000@jespernielsen.dk</v>
      </c>
      <c r="Q105" s="15" t="str">
        <f ca="1">IFERROR(__xludf.DUMMYFUNCTION("""COMPUTED_VALUE"""),"https://www.boliga.dk/maegler/28207")</f>
        <v>https://www.boliga.dk/maegler/28207</v>
      </c>
      <c r="R105" s="14" t="str">
        <f ca="1">IFERROR(__xludf.DUMMYFUNCTION("""COMPUTED_VALUE"""),"-")</f>
        <v>-</v>
      </c>
      <c r="S105" s="14" t="str">
        <f ca="1">IFERROR(__xludf.DUMMYFUNCTION("""COMPUTED_VALUE"""),"-")</f>
        <v>-</v>
      </c>
      <c r="T105" s="14" t="str">
        <f ca="1">IFERROR(__xludf.DUMMYFUNCTION("""COMPUTED_VALUE"""),"-")</f>
        <v>-</v>
      </c>
      <c r="U105" s="14">
        <f ca="1">IFERROR(__xludf.DUMMYFUNCTION("""COMPUTED_VALUE"""),32)</f>
        <v>32</v>
      </c>
      <c r="V105" s="14" t="str">
        <f ca="1">IFERROR(__xludf.DUMMYFUNCTION("""COMPUTED_VALUE"""),"7160, 8970, 8250, 8270, 7860, 9560, 8340, 8000, 8963")</f>
        <v>7160, 8970, 8250, 8270, 7860, 9560, 8340, 8000, 8963</v>
      </c>
      <c r="W105" s="14">
        <f ca="1">IFERROR(__xludf.DUMMYFUNCTION("""COMPUTED_VALUE"""),10)</f>
        <v>10</v>
      </c>
      <c r="X105" s="14" t="str">
        <f ca="1">IFERROR(__xludf.DUMMYFUNCTION("""COMPUTED_VALUE"""),"7860, 8400, 7900, 8870, 8000, 8250, 8382")</f>
        <v>7860, 8400, 7900, 8870, 8000, 8250, 8382</v>
      </c>
      <c r="Y105" s="14" t="str">
        <f ca="1">IFERROR(__xludf.DUMMYFUNCTION("""COMPUTED_VALUE"""),"ja")</f>
        <v>ja</v>
      </c>
      <c r="Z105" s="14"/>
      <c r="AA105" s="14"/>
      <c r="AB105" s="14" t="str">
        <f ca="1">IFERROR(__xludf.DUMMYFUNCTION("""COMPUTED_VALUE"""),"x")</f>
        <v>x</v>
      </c>
      <c r="AC105" s="14" t="str">
        <f ca="1">IFERROR(__xludf.DUMMYFUNCTION("""COMPUTED_VALUE"""),"x")</f>
        <v>x</v>
      </c>
    </row>
    <row r="106" spans="1:29" ht="12.5" x14ac:dyDescent="0.25">
      <c r="A106" s="14" t="str">
        <f ca="1">IFERROR(__xludf.DUMMYFUNCTION("""COMPUTED_VALUE"""),"Camilla")</f>
        <v>Camilla</v>
      </c>
      <c r="B106" s="14" t="str">
        <f ca="1">IFERROR(__xludf.DUMMYFUNCTION("""COMPUTED_VALUE"""),"Jepser Nielsen, Vejle")</f>
        <v>Jepser Nielsen, Vejle</v>
      </c>
      <c r="C106" s="14">
        <f ca="1">IFERROR(__xludf.DUMMYFUNCTION("""COMPUTED_VALUE"""),42923419)</f>
        <v>42923419</v>
      </c>
      <c r="D106" s="14" t="str">
        <f ca="1">IFERROR(__xludf.DUMMYFUNCTION("""COMPUTED_VALUE"""),"MG-JY: 2.499,-")</f>
        <v>MG-JY: 2.499,-</v>
      </c>
      <c r="E106" s="14">
        <f ca="1">IFERROR(__xludf.DUMMYFUNCTION("""COMPUTED_VALUE"""),1201)</f>
        <v>1201</v>
      </c>
      <c r="F106" s="14" t="str">
        <f ca="1">IFERROR(__xludf.DUMMYFUNCTION("""COMPUTED_VALUE"""),"Thomas Videriksen")</f>
        <v>Thomas Videriksen</v>
      </c>
      <c r="G106" s="14" t="str">
        <f ca="1">IFERROR(__xludf.DUMMYFUNCTION("""COMPUTED_VALUE"""),"tv@jespernielsen.dk")</f>
        <v>tv@jespernielsen.dk</v>
      </c>
      <c r="H106" s="14" t="str">
        <f ca="1">IFERROR(__xludf.DUMMYFUNCTION("""COMPUTED_VALUE"""),"5171 3322")</f>
        <v>5171 3322</v>
      </c>
      <c r="I106" s="14" t="str">
        <f ca="1">IFERROR(__xludf.DUMMYFUNCTION("""COMPUTED_VALUE"""),"VESTRE ENGVEJ 1A")</f>
        <v>VESTRE ENGVEJ 1A</v>
      </c>
      <c r="J106" s="14">
        <f ca="1">IFERROR(__xludf.DUMMYFUNCTION("""COMPUTED_VALUE"""),7100)</f>
        <v>7100</v>
      </c>
      <c r="K106" s="14" t="str">
        <f ca="1">IFERROR(__xludf.DUMMYFUNCTION("""COMPUTED_VALUE"""),"Vejle")</f>
        <v>Vejle</v>
      </c>
      <c r="L106" s="14"/>
      <c r="M106" s="14"/>
      <c r="N106" s="14"/>
      <c r="O106" s="14" t="str">
        <f ca="1">IFERROR(__xludf.DUMMYFUNCTION("""COMPUTED_VALUE"""),"5171 3322")</f>
        <v>5171 3322</v>
      </c>
      <c r="P106" s="14" t="str">
        <f ca="1">IFERROR(__xludf.DUMMYFUNCTION("""COMPUTED_VALUE"""),"findhjem7100@jespernielsen.dk")</f>
        <v>findhjem7100@jespernielsen.dk</v>
      </c>
      <c r="Q106" s="15" t="str">
        <f ca="1">IFERROR(__xludf.DUMMYFUNCTION("""COMPUTED_VALUE"""),"https://www.boliga.dk/maegler/29137")</f>
        <v>https://www.boliga.dk/maegler/29137</v>
      </c>
      <c r="R106" s="14"/>
      <c r="S106" s="14"/>
      <c r="T106" s="14"/>
      <c r="U106" s="14"/>
      <c r="V106" s="14"/>
      <c r="W106" s="14"/>
      <c r="X106" s="14"/>
      <c r="Y106" s="14" t="str">
        <f ca="1">IFERROR(__xludf.DUMMYFUNCTION("""COMPUTED_VALUE"""),"ja")</f>
        <v>ja</v>
      </c>
      <c r="Z106" s="14"/>
      <c r="AA106" s="14"/>
      <c r="AB106" s="14" t="str">
        <f ca="1">IFERROR(__xludf.DUMMYFUNCTION("""COMPUTED_VALUE"""),"x")</f>
        <v>x</v>
      </c>
      <c r="AC106" s="14" t="str">
        <f ca="1">IFERROR(__xludf.DUMMYFUNCTION("""COMPUTED_VALUE"""),"x")</f>
        <v>x</v>
      </c>
    </row>
    <row r="107" spans="1:29" ht="12.5" x14ac:dyDescent="0.25">
      <c r="A107" s="14" t="str">
        <f ca="1">IFERROR(__xludf.DUMMYFUNCTION("""COMPUTED_VALUE"""),"Camilla")</f>
        <v>Camilla</v>
      </c>
      <c r="B107" s="14" t="str">
        <f ca="1">IFERROR(__xludf.DUMMYFUNCTION("""COMPUTED_VALUE"""),"Jesper Nielsen, Herning")</f>
        <v>Jesper Nielsen, Herning</v>
      </c>
      <c r="C107" s="14">
        <f ca="1">IFERROR(__xludf.DUMMYFUNCTION("""COMPUTED_VALUE"""),33058624)</f>
        <v>33058624</v>
      </c>
      <c r="D107" s="14" t="str">
        <f ca="1">IFERROR(__xludf.DUMMYFUNCTION("""COMPUTED_VALUE"""),"MG-JY: 2.499,-")</f>
        <v>MG-JY: 2.499,-</v>
      </c>
      <c r="E107" s="14">
        <f ca="1">IFERROR(__xludf.DUMMYFUNCTION("""COMPUTED_VALUE"""),1201)</f>
        <v>1201</v>
      </c>
      <c r="F107" s="14" t="str">
        <f ca="1">IFERROR(__xludf.DUMMYFUNCTION("""COMPUTED_VALUE"""),"Marcus Mikkelsen")</f>
        <v>Marcus Mikkelsen</v>
      </c>
      <c r="G107" s="14" t="str">
        <f ca="1">IFERROR(__xludf.DUMMYFUNCTION("""COMPUTED_VALUE"""),"mm@jespernielsen.dk")</f>
        <v>mm@jespernielsen.dk</v>
      </c>
      <c r="H107" s="14" t="str">
        <f ca="1">IFERROR(__xludf.DUMMYFUNCTION("""COMPUTED_VALUE"""),"2327 9931")</f>
        <v>2327 9931</v>
      </c>
      <c r="I107" s="14" t="str">
        <f ca="1">IFERROR(__xludf.DUMMYFUNCTION("""COMPUTED_VALUE"""),"SILKEBORGVEJ 8, ST, TV.")</f>
        <v>SILKEBORGVEJ 8, ST, TV.</v>
      </c>
      <c r="J107" s="14">
        <f ca="1">IFERROR(__xludf.DUMMYFUNCTION("""COMPUTED_VALUE"""),7400)</f>
        <v>7400</v>
      </c>
      <c r="K107" s="14" t="str">
        <f ca="1">IFERROR(__xludf.DUMMYFUNCTION("""COMPUTED_VALUE"""),"Herning")</f>
        <v>Herning</v>
      </c>
      <c r="L107" s="14"/>
      <c r="M107" s="14"/>
      <c r="N107" s="14"/>
      <c r="O107" s="14">
        <f ca="1">IFERROR(__xludf.DUMMYFUNCTION("""COMPUTED_VALUE"""),88446000)</f>
        <v>88446000</v>
      </c>
      <c r="P107" s="15" t="str">
        <f ca="1">IFERROR(__xludf.DUMMYFUNCTION("""COMPUTED_VALUE"""),"FINDHJEM7400@JESPERNIELSEN.DK")</f>
        <v>FINDHJEM7400@JESPERNIELSEN.DK</v>
      </c>
      <c r="Q107" s="15" t="str">
        <f ca="1">IFERROR(__xludf.DUMMYFUNCTION("""COMPUTED_VALUE"""),"https://www.boliga.dk/maegler/29138")</f>
        <v>https://www.boliga.dk/maegler/29138</v>
      </c>
      <c r="R107" s="14"/>
      <c r="S107" s="14"/>
      <c r="T107" s="14"/>
      <c r="U107" s="14"/>
      <c r="V107" s="14"/>
      <c r="W107" s="14"/>
      <c r="X107" s="14"/>
      <c r="Y107" s="14" t="str">
        <f ca="1">IFERROR(__xludf.DUMMYFUNCTION("""COMPUTED_VALUE"""),"ja")</f>
        <v>ja</v>
      </c>
      <c r="Z107" s="14"/>
      <c r="AA107" s="14"/>
      <c r="AB107" s="14" t="str">
        <f ca="1">IFERROR(__xludf.DUMMYFUNCTION("""COMPUTED_VALUE"""),"x")</f>
        <v>x</v>
      </c>
      <c r="AC107" s="14" t="str">
        <f ca="1">IFERROR(__xludf.DUMMYFUNCTION("""COMPUTED_VALUE"""),"x")</f>
        <v>x</v>
      </c>
    </row>
    <row r="108" spans="1:29" ht="12.5" x14ac:dyDescent="0.25">
      <c r="A108" s="14" t="str">
        <f ca="1">IFERROR(__xludf.DUMMYFUNCTION("""COMPUTED_VALUE"""),"Camilla")</f>
        <v>Camilla</v>
      </c>
      <c r="B108" s="14" t="str">
        <f ca="1">IFERROR(__xludf.DUMMYFUNCTION("""COMPUTED_VALUE"""),"Kesam")</f>
        <v>Kesam</v>
      </c>
      <c r="C108" s="14">
        <f ca="1">IFERROR(__xludf.DUMMYFUNCTION("""COMPUTED_VALUE"""),38467085)</f>
        <v>38467085</v>
      </c>
      <c r="D108" s="14" t="str">
        <f ca="1">IFERROR(__xludf.DUMMYFUNCTION("""COMPUTED_VALUE"""),"MG-JY: 2.499,-")</f>
        <v>MG-JY: 2.499,-</v>
      </c>
      <c r="E108" s="14">
        <f ca="1">IFERROR(__xludf.DUMMYFUNCTION("""COMPUTED_VALUE"""),1201)</f>
        <v>1201</v>
      </c>
      <c r="F108" s="14" t="str">
        <f ca="1">IFERROR(__xludf.DUMMYFUNCTION("""COMPUTED_VALUE"""),"Karsten Dahl Jensen")</f>
        <v>Karsten Dahl Jensen</v>
      </c>
      <c r="G108" s="14" t="str">
        <f ca="1">IFERROR(__xludf.DUMMYFUNCTION("""COMPUTED_VALUE"""),"kdj@kesam.dk")</f>
        <v>kdj@kesam.dk</v>
      </c>
      <c r="H108" s="14">
        <f ca="1">IFERROR(__xludf.DUMMYFUNCTION("""COMPUTED_VALUE"""),91531026)</f>
        <v>91531026</v>
      </c>
      <c r="I108" s="14" t="str">
        <f ca="1">IFERROR(__xludf.DUMMYFUNCTION("""COMPUTED_VALUE"""),"Rugbjergvej 6")</f>
        <v>Rugbjergvej 6</v>
      </c>
      <c r="J108" s="14">
        <f ca="1">IFERROR(__xludf.DUMMYFUNCTION("""COMPUTED_VALUE"""),7490)</f>
        <v>7490</v>
      </c>
      <c r="K108" s="14" t="str">
        <f ca="1">IFERROR(__xludf.DUMMYFUNCTION("""COMPUTED_VALUE"""),"Aulum")</f>
        <v>Aulum</v>
      </c>
      <c r="L108" s="14" t="str">
        <f ca="1">IFERROR(__xludf.DUMMYFUNCTION("""COMPUTED_VALUE"""),"Herning")</f>
        <v>Herning</v>
      </c>
      <c r="M108" s="14" t="str">
        <f ca="1">IFERROR(__xludf.DUMMYFUNCTION("""COMPUTED_VALUE"""),"Vestjylland")</f>
        <v>Vestjylland</v>
      </c>
      <c r="N108" s="14" t="str">
        <f ca="1">IFERROR(__xludf.DUMMYFUNCTION("""COMPUTED_VALUE"""),"Midtjylland")</f>
        <v>Midtjylland</v>
      </c>
      <c r="O108" s="14">
        <f ca="1">IFERROR(__xludf.DUMMYFUNCTION("""COMPUTED_VALUE"""),91531026)</f>
        <v>91531026</v>
      </c>
      <c r="P108" s="15" t="str">
        <f ca="1">IFERROR(__xludf.DUMMYFUNCTION("""COMPUTED_VALUE"""),"info@kesam.dk")</f>
        <v>info@kesam.dk</v>
      </c>
      <c r="Q108" s="15" t="str">
        <f ca="1">IFERROR(__xludf.DUMMYFUNCTION("""COMPUTED_VALUE"""),"https://www.boliga.dk/maegler/25237")</f>
        <v>https://www.boliga.dk/maegler/25237</v>
      </c>
      <c r="R108" s="14" t="str">
        <f ca="1">IFERROR(__xludf.DUMMYFUNCTION("""COMPUTED_VALUE"""),"-")</f>
        <v>-</v>
      </c>
      <c r="S108" s="14" t="str">
        <f ca="1">IFERROR(__xludf.DUMMYFUNCTION("""COMPUTED_VALUE"""),"-")</f>
        <v>-</v>
      </c>
      <c r="T108" s="14" t="str">
        <f ca="1">IFERROR(__xludf.DUMMYFUNCTION("""COMPUTED_VALUE"""),"-")</f>
        <v>-</v>
      </c>
      <c r="U108" s="14">
        <f ca="1">IFERROR(__xludf.DUMMYFUNCTION("""COMPUTED_VALUE"""),25)</f>
        <v>25</v>
      </c>
      <c r="V108" s="14" t="str">
        <f ca="1">IFERROR(__xludf.DUMMYFUNCTION("""COMPUTED_VALUE"""),"6920, 7490, 7600, 6933, 7620, 6950, 7800, 6973, 7480, 7280, 7830, 7540")</f>
        <v>6920, 7490, 7600, 6933, 7620, 6950, 7800, 6973, 7480, 7280, 7830, 7540</v>
      </c>
      <c r="W108" s="14">
        <f ca="1">IFERROR(__xludf.DUMMYFUNCTION("""COMPUTED_VALUE"""),17)</f>
        <v>17</v>
      </c>
      <c r="X108" s="14" t="str">
        <f ca="1">IFERROR(__xludf.DUMMYFUNCTION("""COMPUTED_VALUE"""),"7550, 7400, 7500, 7490, 7480, 8600, 7770, 7860")</f>
        <v>7550, 7400, 7500, 7490, 7480, 8600, 7770, 7860</v>
      </c>
      <c r="Y108" s="14" t="str">
        <f ca="1">IFERROR(__xludf.DUMMYFUNCTION("""COMPUTED_VALUE"""),"ja")</f>
        <v>ja</v>
      </c>
      <c r="Z108" s="14"/>
      <c r="AA108" s="14"/>
      <c r="AB108" s="14" t="str">
        <f ca="1">IFERROR(__xludf.DUMMYFUNCTION("""COMPUTED_VALUE"""),"x")</f>
        <v>x</v>
      </c>
      <c r="AC108" s="14" t="str">
        <f ca="1">IFERROR(__xludf.DUMMYFUNCTION("""COMPUTED_VALUE"""),"x")</f>
        <v>x</v>
      </c>
    </row>
    <row r="109" spans="1:29" ht="12.5" x14ac:dyDescent="0.25">
      <c r="A109" s="14" t="str">
        <f ca="1">IFERROR(__xludf.DUMMYFUNCTION("""COMPUTED_VALUE"""),"Camilla")</f>
        <v>Camilla</v>
      </c>
      <c r="B109" s="14" t="str">
        <f ca="1">IFERROR(__xludf.DUMMYFUNCTION("""COMPUTED_VALUE"""),"Kim Vittrup")</f>
        <v>Kim Vittrup</v>
      </c>
      <c r="C109" s="14">
        <f ca="1">IFERROR(__xludf.DUMMYFUNCTION("""COMPUTED_VALUE"""),32563198)</f>
        <v>32563198</v>
      </c>
      <c r="D109" s="14" t="str">
        <f ca="1">IFERROR(__xludf.DUMMYFUNCTION("""COMPUTED_VALUE"""),"MG-JY: 2.499,-")</f>
        <v>MG-JY: 2.499,-</v>
      </c>
      <c r="E109" s="14">
        <f ca="1">IFERROR(__xludf.DUMMYFUNCTION("""COMPUTED_VALUE"""),1201)</f>
        <v>1201</v>
      </c>
      <c r="F109" s="14" t="str">
        <f ca="1">IFERROR(__xludf.DUMMYFUNCTION("""COMPUTED_VALUE"""),"Kim Vittrup")</f>
        <v>Kim Vittrup</v>
      </c>
      <c r="G109" s="14" t="str">
        <f ca="1">IFERROR(__xludf.DUMMYFUNCTION("""COMPUTED_VALUE"""),"kivi@kivias.dk")</f>
        <v>kivi@kivias.dk</v>
      </c>
      <c r="H109" s="14">
        <f ca="1">IFERROR(__xludf.DUMMYFUNCTION("""COMPUTED_VALUE"""),40355359)</f>
        <v>40355359</v>
      </c>
      <c r="I109" s="14" t="str">
        <f ca="1">IFERROR(__xludf.DUMMYFUNCTION("""COMPUTED_VALUE"""),"Gråbrødrestræde 8")</f>
        <v>Gråbrødrestræde 8</v>
      </c>
      <c r="J109" s="14">
        <f ca="1">IFERROR(__xludf.DUMMYFUNCTION("""COMPUTED_VALUE"""),8900)</f>
        <v>8900</v>
      </c>
      <c r="K109" s="14" t="str">
        <f ca="1">IFERROR(__xludf.DUMMYFUNCTION("""COMPUTED_VALUE"""),"Randers C")</f>
        <v>Randers C</v>
      </c>
      <c r="L109" s="14" t="str">
        <f ca="1">IFERROR(__xludf.DUMMYFUNCTION("""COMPUTED_VALUE"""),"Randers")</f>
        <v>Randers</v>
      </c>
      <c r="M109" s="14" t="str">
        <f ca="1">IFERROR(__xludf.DUMMYFUNCTION("""COMPUTED_VALUE"""),"Østjylland")</f>
        <v>Østjylland</v>
      </c>
      <c r="N109" s="14" t="str">
        <f ca="1">IFERROR(__xludf.DUMMYFUNCTION("""COMPUTED_VALUE"""),"Midtjylland")</f>
        <v>Midtjylland</v>
      </c>
      <c r="O109" s="14">
        <f ca="1">IFERROR(__xludf.DUMMYFUNCTION("""COMPUTED_VALUE"""),86410157)</f>
        <v>86410157</v>
      </c>
      <c r="P109" s="14" t="str">
        <f ca="1">IFERROR(__xludf.DUMMYFUNCTION("""COMPUTED_VALUE"""),"info@kivias.dk")</f>
        <v>info@kivias.dk</v>
      </c>
      <c r="Q109" s="15" t="str">
        <f ca="1">IFERROR(__xludf.DUMMYFUNCTION("""COMPUTED_VALUE"""),"https://www.boliga.dk/maegler/27147")</f>
        <v>https://www.boliga.dk/maegler/27147</v>
      </c>
      <c r="R109" s="14" t="str">
        <f ca="1">IFERROR(__xludf.DUMMYFUNCTION("""COMPUTED_VALUE"""),"-")</f>
        <v>-</v>
      </c>
      <c r="S109" s="14" t="str">
        <f ca="1">IFERROR(__xludf.DUMMYFUNCTION("""COMPUTED_VALUE"""),"-")</f>
        <v>-</v>
      </c>
      <c r="T109" s="14" t="str">
        <f ca="1">IFERROR(__xludf.DUMMYFUNCTION("""COMPUTED_VALUE"""),"-")</f>
        <v>-</v>
      </c>
      <c r="U109" s="14">
        <f ca="1">IFERROR(__xludf.DUMMYFUNCTION("""COMPUTED_VALUE"""),19)</f>
        <v>19</v>
      </c>
      <c r="V109" s="14" t="str">
        <f ca="1">IFERROR(__xludf.DUMMYFUNCTION("""COMPUTED_VALUE"""),"8900, 8940, 8585, 8920, 8981, 7742, 8970, 8930, 8990")</f>
        <v>8900, 8940, 8585, 8920, 8981, 7742, 8970, 8930, 8990</v>
      </c>
      <c r="W109" s="14">
        <f ca="1">IFERROR(__xludf.DUMMYFUNCTION("""COMPUTED_VALUE"""),12)</f>
        <v>12</v>
      </c>
      <c r="X109" s="14" t="str">
        <f ca="1">IFERROR(__xludf.DUMMYFUNCTION("""COMPUTED_VALUE"""),"8870, 8940, 8900, 8920, 8983, 8960")</f>
        <v>8870, 8940, 8900, 8920, 8983, 8960</v>
      </c>
      <c r="Y109" s="14" t="str">
        <f ca="1">IFERROR(__xludf.DUMMYFUNCTION("""COMPUTED_VALUE"""),"ja")</f>
        <v>ja</v>
      </c>
      <c r="Z109" s="14"/>
      <c r="AA109" s="14"/>
      <c r="AB109" s="14" t="str">
        <f ca="1">IFERROR(__xludf.DUMMYFUNCTION("""COMPUTED_VALUE"""),"x")</f>
        <v>x</v>
      </c>
      <c r="AC109" s="14" t="str">
        <f ca="1">IFERROR(__xludf.DUMMYFUNCTION("""COMPUTED_VALUE"""),"x")</f>
        <v>x</v>
      </c>
    </row>
    <row r="110" spans="1:29" ht="12.5" x14ac:dyDescent="0.25">
      <c r="A110" s="14" t="str">
        <f ca="1">IFERROR(__xludf.DUMMYFUNCTION("""COMPUTED_VALUE"""),"Camilla")</f>
        <v>Camilla</v>
      </c>
      <c r="B110" s="14" t="str">
        <f ca="1">IFERROR(__xludf.DUMMYFUNCTION("""COMPUTED_VALUE"""),"Lokalmæglerne")</f>
        <v>Lokalmæglerne</v>
      </c>
      <c r="C110" s="14">
        <f ca="1">IFERROR(__xludf.DUMMYFUNCTION("""COMPUTED_VALUE"""),25161602)</f>
        <v>25161602</v>
      </c>
      <c r="D110" s="14" t="str">
        <f ca="1">IFERROR(__xludf.DUMMYFUNCTION("""COMPUTED_VALUE"""),"MG-JY: 2.499,-")</f>
        <v>MG-JY: 2.499,-</v>
      </c>
      <c r="E110" s="14">
        <f ca="1">IFERROR(__xludf.DUMMYFUNCTION("""COMPUTED_VALUE"""),1201)</f>
        <v>1201</v>
      </c>
      <c r="F110" s="14" t="str">
        <f ca="1">IFERROR(__xludf.DUMMYFUNCTION("""COMPUTED_VALUE"""),"Jette Dalgaard")</f>
        <v>Jette Dalgaard</v>
      </c>
      <c r="G110" s="14" t="str">
        <f ca="1">IFERROR(__xludf.DUMMYFUNCTION("""COMPUTED_VALUE"""),"jd@lokal-maegler.dk")</f>
        <v>jd@lokal-maegler.dk</v>
      </c>
      <c r="H110" s="14">
        <f ca="1">IFERROR(__xludf.DUMMYFUNCTION("""COMPUTED_VALUE"""),29413643)</f>
        <v>29413643</v>
      </c>
      <c r="I110" s="14" t="str">
        <f ca="1">IFERROR(__xludf.DUMMYFUNCTION("""COMPUTED_VALUE"""),"Byvej 22")</f>
        <v>Byvej 22</v>
      </c>
      <c r="J110" s="14">
        <f ca="1">IFERROR(__xludf.DUMMYFUNCTION("""COMPUTED_VALUE"""),8543)</f>
        <v>8543</v>
      </c>
      <c r="K110" s="14" t="str">
        <f ca="1">IFERROR(__xludf.DUMMYFUNCTION("""COMPUTED_VALUE"""),"Hornslet")</f>
        <v>Hornslet</v>
      </c>
      <c r="L110" s="14" t="str">
        <f ca="1">IFERROR(__xludf.DUMMYFUNCTION("""COMPUTED_VALUE"""),"Syddjurs")</f>
        <v>Syddjurs</v>
      </c>
      <c r="M110" s="14" t="str">
        <f ca="1">IFERROR(__xludf.DUMMYFUNCTION("""COMPUTED_VALUE"""),"Østjylland")</f>
        <v>Østjylland</v>
      </c>
      <c r="N110" s="14" t="str">
        <f ca="1">IFERROR(__xludf.DUMMYFUNCTION("""COMPUTED_VALUE"""),"Midtjylland")</f>
        <v>Midtjylland</v>
      </c>
      <c r="O110" s="14">
        <f ca="1">IFERROR(__xludf.DUMMYFUNCTION("""COMPUTED_VALUE"""),86996577)</f>
        <v>86996577</v>
      </c>
      <c r="P110" s="14" t="str">
        <f ca="1">IFERROR(__xludf.DUMMYFUNCTION("""COMPUTED_VALUE"""),"post@lokal-maegler.dk")</f>
        <v>post@lokal-maegler.dk</v>
      </c>
      <c r="Q110" s="15" t="str">
        <f ca="1">IFERROR(__xludf.DUMMYFUNCTION("""COMPUTED_VALUE"""),"https://www.boliga.dk/maegler/22389")</f>
        <v>https://www.boliga.dk/maegler/22389</v>
      </c>
      <c r="R110" s="14" t="str">
        <f ca="1">IFERROR(__xludf.DUMMYFUNCTION("""COMPUTED_VALUE"""),"-")</f>
        <v>-</v>
      </c>
      <c r="S110" s="14" t="str">
        <f ca="1">IFERROR(__xludf.DUMMYFUNCTION("""COMPUTED_VALUE"""),"-")</f>
        <v>-</v>
      </c>
      <c r="T110" s="14" t="str">
        <f ca="1">IFERROR(__xludf.DUMMYFUNCTION("""COMPUTED_VALUE"""),"-")</f>
        <v>-</v>
      </c>
      <c r="U110" s="14">
        <f ca="1">IFERROR(__xludf.DUMMYFUNCTION("""COMPUTED_VALUE"""),17)</f>
        <v>17</v>
      </c>
      <c r="V110" s="14" t="str">
        <f ca="1">IFERROR(__xludf.DUMMYFUNCTION("""COMPUTED_VALUE"""),"8541, 8420, 7700, 8543, 8581, 8544, 8585, 8961")</f>
        <v>8541, 8420, 7700, 8543, 8581, 8544, 8585, 8961</v>
      </c>
      <c r="W110" s="14">
        <f ca="1">IFERROR(__xludf.DUMMYFUNCTION("""COMPUTED_VALUE"""),12)</f>
        <v>12</v>
      </c>
      <c r="X110" s="14" t="str">
        <f ca="1">IFERROR(__xludf.DUMMYFUNCTION("""COMPUTED_VALUE"""),"8410, 8544, 8541, 8543, 9700")</f>
        <v>8410, 8544, 8541, 8543, 9700</v>
      </c>
      <c r="Y110" s="14" t="str">
        <f ca="1">IFERROR(__xludf.DUMMYFUNCTION("""COMPUTED_VALUE"""),"ja")</f>
        <v>ja</v>
      </c>
      <c r="Z110" s="14"/>
      <c r="AA110" s="14"/>
      <c r="AB110" s="14" t="str">
        <f ca="1">IFERROR(__xludf.DUMMYFUNCTION("""COMPUTED_VALUE"""),"x")</f>
        <v>x</v>
      </c>
      <c r="AC110" s="14" t="str">
        <f ca="1">IFERROR(__xludf.DUMMYFUNCTION("""COMPUTED_VALUE"""),"x")</f>
        <v>x</v>
      </c>
    </row>
    <row r="111" spans="1:29" ht="12.5" x14ac:dyDescent="0.25">
      <c r="A111" s="14" t="str">
        <f ca="1">IFERROR(__xludf.DUMMYFUNCTION("""COMPUTED_VALUE"""),"Camilla")</f>
        <v>Camilla</v>
      </c>
      <c r="B111" s="14" t="str">
        <f ca="1">IFERROR(__xludf.DUMMYFUNCTION("""COMPUTED_VALUE"""),"Min Bolighandel Horsens")</f>
        <v>Min Bolighandel Horsens</v>
      </c>
      <c r="C111" s="14">
        <f ca="1">IFERROR(__xludf.DUMMYFUNCTION("""COMPUTED_VALUE"""),36295090)</f>
        <v>36295090</v>
      </c>
      <c r="D111" s="14" t="str">
        <f ca="1">IFERROR(__xludf.DUMMYFUNCTION("""COMPUTED_VALUE"""),"MG-JY: 2.499,-")</f>
        <v>MG-JY: 2.499,-</v>
      </c>
      <c r="E111" s="14">
        <f ca="1">IFERROR(__xludf.DUMMYFUNCTION("""COMPUTED_VALUE"""),1201)</f>
        <v>1201</v>
      </c>
      <c r="F111" s="14" t="str">
        <f ca="1">IFERROR(__xludf.DUMMYFUNCTION("""COMPUTED_VALUE"""),"Lars Nielsen")</f>
        <v>Lars Nielsen</v>
      </c>
      <c r="G111" s="14" t="str">
        <f ca="1">IFERROR(__xludf.DUMMYFUNCTION("""COMPUTED_VALUE"""),"lars@minbolighandel.dk")</f>
        <v>lars@minbolighandel.dk</v>
      </c>
      <c r="H111" s="14">
        <f ca="1">IFERROR(__xludf.DUMMYFUNCTION("""COMPUTED_VALUE"""),24250784)</f>
        <v>24250784</v>
      </c>
      <c r="I111" s="14" t="str">
        <f ca="1">IFERROR(__xludf.DUMMYFUNCTION("""COMPUTED_VALUE"""),"Rådhustorvet 21")</f>
        <v>Rådhustorvet 21</v>
      </c>
      <c r="J111" s="14">
        <f ca="1">IFERROR(__xludf.DUMMYFUNCTION("""COMPUTED_VALUE"""),8700)</f>
        <v>8700</v>
      </c>
      <c r="K111" s="14" t="str">
        <f ca="1">IFERROR(__xludf.DUMMYFUNCTION("""COMPUTED_VALUE"""),"Horsens")</f>
        <v>Horsens</v>
      </c>
      <c r="L111" s="14" t="str">
        <f ca="1">IFERROR(__xludf.DUMMYFUNCTION("""COMPUTED_VALUE"""),"Horsens")</f>
        <v>Horsens</v>
      </c>
      <c r="M111" s="14" t="str">
        <f ca="1">IFERROR(__xludf.DUMMYFUNCTION("""COMPUTED_VALUE"""),"Østjylland")</f>
        <v>Østjylland</v>
      </c>
      <c r="N111" s="14" t="str">
        <f ca="1">IFERROR(__xludf.DUMMYFUNCTION("""COMPUTED_VALUE"""),"Midtjylland")</f>
        <v>Midtjylland</v>
      </c>
      <c r="O111" s="14">
        <f ca="1">IFERROR(__xludf.DUMMYFUNCTION("""COMPUTED_VALUE"""),22144030)</f>
        <v>22144030</v>
      </c>
      <c r="P111" s="14" t="str">
        <f ca="1">IFERROR(__xludf.DUMMYFUNCTION("""COMPUTED_VALUE"""),"peter@minbolighandel.dk")</f>
        <v>peter@minbolighandel.dk</v>
      </c>
      <c r="Q111" s="15" t="str">
        <f ca="1">IFERROR(__xludf.DUMMYFUNCTION("""COMPUTED_VALUE"""),"https://www.boliga.dk/maegler/25810")</f>
        <v>https://www.boliga.dk/maegler/25810</v>
      </c>
      <c r="R111" s="14" t="str">
        <f ca="1">IFERROR(__xludf.DUMMYFUNCTION("""COMPUTED_VALUE"""),"-")</f>
        <v>-</v>
      </c>
      <c r="S111" s="14" t="str">
        <f ca="1">IFERROR(__xludf.DUMMYFUNCTION("""COMPUTED_VALUE"""),"-")</f>
        <v>-</v>
      </c>
      <c r="T111" s="14" t="str">
        <f ca="1">IFERROR(__xludf.DUMMYFUNCTION("""COMPUTED_VALUE"""),"-")</f>
        <v>-</v>
      </c>
      <c r="U111" s="14">
        <f ca="1">IFERROR(__xludf.DUMMYFUNCTION("""COMPUTED_VALUE"""),5)</f>
        <v>5</v>
      </c>
      <c r="V111" s="14" t="str">
        <f ca="1">IFERROR(__xludf.DUMMYFUNCTION("""COMPUTED_VALUE"""),"7130, 8700, 7140")</f>
        <v>7130, 8700, 7140</v>
      </c>
      <c r="W111" s="14">
        <f ca="1">IFERROR(__xludf.DUMMYFUNCTION("""COMPUTED_VALUE"""),3)</f>
        <v>3</v>
      </c>
      <c r="X111" s="14" t="str">
        <f ca="1">IFERROR(__xludf.DUMMYFUNCTION("""COMPUTED_VALUE"""),"7160, 8700")</f>
        <v>7160, 8700</v>
      </c>
      <c r="Y111" s="14" t="str">
        <f ca="1">IFERROR(__xludf.DUMMYFUNCTION("""COMPUTED_VALUE"""),"ja")</f>
        <v>ja</v>
      </c>
      <c r="Z111" s="14"/>
      <c r="AA111" s="14"/>
      <c r="AB111" s="14" t="str">
        <f ca="1">IFERROR(__xludf.DUMMYFUNCTION("""COMPUTED_VALUE"""),"x")</f>
        <v>x</v>
      </c>
      <c r="AC111" s="14" t="str">
        <f ca="1">IFERROR(__xludf.DUMMYFUNCTION("""COMPUTED_VALUE"""),"x")</f>
        <v>x</v>
      </c>
    </row>
    <row r="112" spans="1:29" ht="12.5" x14ac:dyDescent="0.25">
      <c r="A112" s="14" t="str">
        <f ca="1">IFERROR(__xludf.DUMMYFUNCTION("""COMPUTED_VALUE"""),"Camilla")</f>
        <v>Camilla</v>
      </c>
      <c r="B112" s="14" t="str">
        <f ca="1">IFERROR(__xludf.DUMMYFUNCTION("""COMPUTED_VALUE"""),"Min Bolighandel Aarhus")</f>
        <v>Min Bolighandel Aarhus</v>
      </c>
      <c r="C112" s="14">
        <f ca="1">IFERROR(__xludf.DUMMYFUNCTION("""COMPUTED_VALUE"""),36404000)</f>
        <v>36404000</v>
      </c>
      <c r="D112" s="14" t="str">
        <f ca="1">IFERROR(__xludf.DUMMYFUNCTION("""COMPUTED_VALUE"""),"MG-JY: 2.499,-")</f>
        <v>MG-JY: 2.499,-</v>
      </c>
      <c r="E112" s="14">
        <f ca="1">IFERROR(__xludf.DUMMYFUNCTION("""COMPUTED_VALUE"""),1201)</f>
        <v>1201</v>
      </c>
      <c r="F112" s="14" t="str">
        <f ca="1">IFERROR(__xludf.DUMMYFUNCTION("""COMPUTED_VALUE"""),"Lars Nielsen")</f>
        <v>Lars Nielsen</v>
      </c>
      <c r="G112" s="14" t="str">
        <f ca="1">IFERROR(__xludf.DUMMYFUNCTION("""COMPUTED_VALUE"""),"lars@minbolighandel.dk")</f>
        <v>lars@minbolighandel.dk</v>
      </c>
      <c r="H112" s="14">
        <f ca="1">IFERROR(__xludf.DUMMYFUNCTION("""COMPUTED_VALUE"""),24250784)</f>
        <v>24250784</v>
      </c>
      <c r="I112" s="14" t="str">
        <f ca="1">IFERROR(__xludf.DUMMYFUNCTION("""COMPUTED_VALUE"""),"Randersvej 202")</f>
        <v>Randersvej 202</v>
      </c>
      <c r="J112" s="14">
        <f ca="1">IFERROR(__xludf.DUMMYFUNCTION("""COMPUTED_VALUE"""),8200)</f>
        <v>8200</v>
      </c>
      <c r="K112" s="14" t="str">
        <f ca="1">IFERROR(__xludf.DUMMYFUNCTION("""COMPUTED_VALUE"""),"Aarhus N")</f>
        <v>Aarhus N</v>
      </c>
      <c r="L112" s="14" t="str">
        <f ca="1">IFERROR(__xludf.DUMMYFUNCTION("""COMPUTED_VALUE"""),"Aarhus")</f>
        <v>Aarhus</v>
      </c>
      <c r="M112" s="14" t="str">
        <f ca="1">IFERROR(__xludf.DUMMYFUNCTION("""COMPUTED_VALUE"""),"Østjylland")</f>
        <v>Østjylland</v>
      </c>
      <c r="N112" s="14" t="str">
        <f ca="1">IFERROR(__xludf.DUMMYFUNCTION("""COMPUTED_VALUE"""),"Midtjylland")</f>
        <v>Midtjylland</v>
      </c>
      <c r="O112" s="14">
        <f ca="1">IFERROR(__xludf.DUMMYFUNCTION("""COMPUTED_VALUE"""),70254264)</f>
        <v>70254264</v>
      </c>
      <c r="P112" s="14" t="str">
        <f ca="1">IFERROR(__xludf.DUMMYFUNCTION("""COMPUTED_VALUE"""),"kontakt@minbolighandel.dk")</f>
        <v>kontakt@minbolighandel.dk</v>
      </c>
      <c r="Q112" s="15" t="str">
        <f ca="1">IFERROR(__xludf.DUMMYFUNCTION("""COMPUTED_VALUE"""),"https://www.boliga.dk/maegler/22391")</f>
        <v>https://www.boliga.dk/maegler/22391</v>
      </c>
      <c r="R112" s="14" t="str">
        <f ca="1">IFERROR(__xludf.DUMMYFUNCTION("""COMPUTED_VALUE"""),"-")</f>
        <v>-</v>
      </c>
      <c r="S112" s="14" t="str">
        <f ca="1">IFERROR(__xludf.DUMMYFUNCTION("""COMPUTED_VALUE"""),"-")</f>
        <v>-</v>
      </c>
      <c r="T112" s="14" t="str">
        <f ca="1">IFERROR(__xludf.DUMMYFUNCTION("""COMPUTED_VALUE"""),"-")</f>
        <v>-</v>
      </c>
      <c r="U112" s="14">
        <f ca="1">IFERROR(__xludf.DUMMYFUNCTION("""COMPUTED_VALUE"""),8)</f>
        <v>8</v>
      </c>
      <c r="V112" s="14" t="str">
        <f ca="1">IFERROR(__xludf.DUMMYFUNCTION("""COMPUTED_VALUE"""),"8210, 8370, 8240, 8000, 8700, 9900")</f>
        <v>8210, 8370, 8240, 8000, 8700, 9900</v>
      </c>
      <c r="W112" s="14">
        <f ca="1">IFERROR(__xludf.DUMMYFUNCTION("""COMPUTED_VALUE"""),4)</f>
        <v>4</v>
      </c>
      <c r="X112" s="14" t="str">
        <f ca="1">IFERROR(__xludf.DUMMYFUNCTION("""COMPUTED_VALUE"""),"8000, 8361, 8260, 8270")</f>
        <v>8000, 8361, 8260, 8270</v>
      </c>
      <c r="Y112" s="14" t="str">
        <f ca="1">IFERROR(__xludf.DUMMYFUNCTION("""COMPUTED_VALUE"""),"ja")</f>
        <v>ja</v>
      </c>
      <c r="Z112" s="14"/>
      <c r="AA112" s="14"/>
      <c r="AB112" s="14" t="str">
        <f ca="1">IFERROR(__xludf.DUMMYFUNCTION("""COMPUTED_VALUE"""),"x")</f>
        <v>x</v>
      </c>
      <c r="AC112" s="14" t="str">
        <f ca="1">IFERROR(__xludf.DUMMYFUNCTION("""COMPUTED_VALUE"""),"x")</f>
        <v>x</v>
      </c>
    </row>
    <row r="113" spans="1:29" ht="12.5" x14ac:dyDescent="0.25">
      <c r="A113" s="14" t="str">
        <f ca="1">IFERROR(__xludf.DUMMYFUNCTION("""COMPUTED_VALUE"""),"Camilla")</f>
        <v>Camilla</v>
      </c>
      <c r="B113" s="14" t="str">
        <f ca="1">IFERROR(__xludf.DUMMYFUNCTION("""COMPUTED_VALUE"""),"Nonbo &amp; Eland Ejendomsmæglere")</f>
        <v>Nonbo &amp; Eland Ejendomsmæglere</v>
      </c>
      <c r="C113" s="14">
        <f ca="1">IFERROR(__xludf.DUMMYFUNCTION("""COMPUTED_VALUE"""),27085288)</f>
        <v>27085288</v>
      </c>
      <c r="D113" s="14" t="str">
        <f ca="1">IFERROR(__xludf.DUMMYFUNCTION("""COMPUTED_VALUE"""),"MG-JY: 2.499,-")</f>
        <v>MG-JY: 2.499,-</v>
      </c>
      <c r="E113" s="14">
        <f ca="1">IFERROR(__xludf.DUMMYFUNCTION("""COMPUTED_VALUE"""),1201)</f>
        <v>1201</v>
      </c>
      <c r="F113" s="14" t="str">
        <f ca="1">IFERROR(__xludf.DUMMYFUNCTION("""COMPUTED_VALUE"""),"Michael Nonbo")</f>
        <v>Michael Nonbo</v>
      </c>
      <c r="G113" s="14" t="str">
        <f ca="1">IFERROR(__xludf.DUMMYFUNCTION("""COMPUTED_VALUE"""),"michael@nonbo-eland.dk")</f>
        <v>michael@nonbo-eland.dk</v>
      </c>
      <c r="H113" s="14">
        <f ca="1">IFERROR(__xludf.DUMMYFUNCTION("""COMPUTED_VALUE"""),24232443)</f>
        <v>24232443</v>
      </c>
      <c r="I113" s="14" t="str">
        <f ca="1">IFERROR(__xludf.DUMMYFUNCTION("""COMPUTED_VALUE"""),"Nordre Strandvej 74")</f>
        <v>Nordre Strandvej 74</v>
      </c>
      <c r="J113" s="14">
        <f ca="1">IFERROR(__xludf.DUMMYFUNCTION("""COMPUTED_VALUE"""),8240)</f>
        <v>8240</v>
      </c>
      <c r="K113" s="14" t="str">
        <f ca="1">IFERROR(__xludf.DUMMYFUNCTION("""COMPUTED_VALUE"""),"Risskov")</f>
        <v>Risskov</v>
      </c>
      <c r="L113" s="14" t="str">
        <f ca="1">IFERROR(__xludf.DUMMYFUNCTION("""COMPUTED_VALUE"""),"Aarhus")</f>
        <v>Aarhus</v>
      </c>
      <c r="M113" s="14" t="str">
        <f ca="1">IFERROR(__xludf.DUMMYFUNCTION("""COMPUTED_VALUE"""),"Østjylland")</f>
        <v>Østjylland</v>
      </c>
      <c r="N113" s="14" t="str">
        <f ca="1">IFERROR(__xludf.DUMMYFUNCTION("""COMPUTED_VALUE"""),"Midtjylland")</f>
        <v>Midtjylland</v>
      </c>
      <c r="O113" s="14">
        <f ca="1">IFERROR(__xludf.DUMMYFUNCTION("""COMPUTED_VALUE"""),28906000)</f>
        <v>28906000</v>
      </c>
      <c r="P113" s="14" t="str">
        <f ca="1">IFERROR(__xludf.DUMMYFUNCTION("""COMPUTED_VALUE"""),"info@nonbo-eland.dk")</f>
        <v>info@nonbo-eland.dk</v>
      </c>
      <c r="Q113" s="15" t="str">
        <f ca="1">IFERROR(__xludf.DUMMYFUNCTION("""COMPUTED_VALUE"""),"https://www.boliga.dk/maegler/25500")</f>
        <v>https://www.boliga.dk/maegler/25500</v>
      </c>
      <c r="R113" s="14" t="str">
        <f ca="1">IFERROR(__xludf.DUMMYFUNCTION("""COMPUTED_VALUE"""),"-")</f>
        <v>-</v>
      </c>
      <c r="S113" s="14" t="str">
        <f ca="1">IFERROR(__xludf.DUMMYFUNCTION("""COMPUTED_VALUE"""),"-")</f>
        <v>-</v>
      </c>
      <c r="T113" s="14" t="str">
        <f ca="1">IFERROR(__xludf.DUMMYFUNCTION("""COMPUTED_VALUE"""),"-")</f>
        <v>-</v>
      </c>
      <c r="U113" s="14">
        <f ca="1">IFERROR(__xludf.DUMMYFUNCTION("""COMPUTED_VALUE"""),40)</f>
        <v>40</v>
      </c>
      <c r="V113" s="14" t="str">
        <f ca="1">IFERROR(__xludf.DUMMYFUNCTION("""COMPUTED_VALUE"""),"8250, 8220, 8000, 8270, 8370, 8543, 8240, 8541")</f>
        <v>8250, 8220, 8000, 8270, 8370, 8543, 8240, 8541</v>
      </c>
      <c r="W113" s="14">
        <f ca="1">IFERROR(__xludf.DUMMYFUNCTION("""COMPUTED_VALUE"""),29)</f>
        <v>29</v>
      </c>
      <c r="X113" s="14" t="str">
        <f ca="1">IFERROR(__xludf.DUMMYFUNCTION("""COMPUTED_VALUE"""),"8200, 8240, 8000, 8250")</f>
        <v>8200, 8240, 8000, 8250</v>
      </c>
      <c r="Y113" s="14" t="str">
        <f ca="1">IFERROR(__xludf.DUMMYFUNCTION("""COMPUTED_VALUE"""),"ja")</f>
        <v>ja</v>
      </c>
      <c r="Z113" s="14"/>
      <c r="AA113" s="14"/>
      <c r="AB113" s="14" t="str">
        <f ca="1">IFERROR(__xludf.DUMMYFUNCTION("""COMPUTED_VALUE"""),"x")</f>
        <v>x</v>
      </c>
      <c r="AC113" s="14" t="str">
        <f ca="1">IFERROR(__xludf.DUMMYFUNCTION("""COMPUTED_VALUE"""),"x")</f>
        <v>x</v>
      </c>
    </row>
    <row r="114" spans="1:29" ht="12.5" x14ac:dyDescent="0.25">
      <c r="A114" s="14" t="str">
        <f ca="1">IFERROR(__xludf.DUMMYFUNCTION("""COMPUTED_VALUE"""),"Camilla")</f>
        <v>Camilla</v>
      </c>
      <c r="B114" s="14" t="str">
        <f ca="1">IFERROR(__xludf.DUMMYFUNCTION("""COMPUTED_VALUE"""),"Aarhus Mæglerne")</f>
        <v>Aarhus Mæglerne</v>
      </c>
      <c r="C114" s="14">
        <f ca="1">IFERROR(__xludf.DUMMYFUNCTION("""COMPUTED_VALUE"""),36056452)</f>
        <v>36056452</v>
      </c>
      <c r="D114" s="14" t="str">
        <f ca="1">IFERROR(__xludf.DUMMYFUNCTION("""COMPUTED_VALUE"""),"MG-JY: 2.499,-")</f>
        <v>MG-JY: 2.499,-</v>
      </c>
      <c r="E114" s="14">
        <f ca="1">IFERROR(__xludf.DUMMYFUNCTION("""COMPUTED_VALUE"""),1201)</f>
        <v>1201</v>
      </c>
      <c r="F114" s="14" t="str">
        <f ca="1">IFERROR(__xludf.DUMMYFUNCTION("""COMPUTED_VALUE"""),"Morten Eriksen")</f>
        <v>Morten Eriksen</v>
      </c>
      <c r="G114" s="14" t="str">
        <f ca="1">IFERROR(__xludf.DUMMYFUNCTION("""COMPUTED_VALUE"""),"morten@aarhusmaeglerne.dk")</f>
        <v>morten@aarhusmaeglerne.dk</v>
      </c>
      <c r="H114" s="14">
        <f ca="1">IFERROR(__xludf.DUMMYFUNCTION("""COMPUTED_VALUE"""),51946829)</f>
        <v>51946829</v>
      </c>
      <c r="I114" s="14" t="str">
        <f ca="1">IFERROR(__xludf.DUMMYFUNCTION("""COMPUTED_VALUE"""),"Prismet, Silkeborgvej 2, etage 0")</f>
        <v>Prismet, Silkeborgvej 2, etage 0</v>
      </c>
      <c r="J114" s="14">
        <f ca="1">IFERROR(__xludf.DUMMYFUNCTION("""COMPUTED_VALUE"""),8000)</f>
        <v>8000</v>
      </c>
      <c r="K114" s="14" t="str">
        <f ca="1">IFERROR(__xludf.DUMMYFUNCTION("""COMPUTED_VALUE"""),"Aarhus C")</f>
        <v>Aarhus C</v>
      </c>
      <c r="L114" s="14" t="str">
        <f ca="1">IFERROR(__xludf.DUMMYFUNCTION("""COMPUTED_VALUE"""),"Aarhus")</f>
        <v>Aarhus</v>
      </c>
      <c r="M114" s="14" t="str">
        <f ca="1">IFERROR(__xludf.DUMMYFUNCTION("""COMPUTED_VALUE"""),"Østjylland")</f>
        <v>Østjylland</v>
      </c>
      <c r="N114" s="14" t="str">
        <f ca="1">IFERROR(__xludf.DUMMYFUNCTION("""COMPUTED_VALUE"""),"Midtjylland")</f>
        <v>Midtjylland</v>
      </c>
      <c r="O114" s="14">
        <f ca="1">IFERROR(__xludf.DUMMYFUNCTION("""COMPUTED_VALUE"""),70707961)</f>
        <v>70707961</v>
      </c>
      <c r="P114" s="14" t="str">
        <f ca="1">IFERROR(__xludf.DUMMYFUNCTION("""COMPUTED_VALUE"""),"info@aarhusmaeglerne.dk")</f>
        <v>info@aarhusmaeglerne.dk</v>
      </c>
      <c r="Q114" s="15" t="str">
        <f ca="1">IFERROR(__xludf.DUMMYFUNCTION("""COMPUTED_VALUE"""),"https://www.boliga.dk/maegler/22020")</f>
        <v>https://www.boliga.dk/maegler/22020</v>
      </c>
      <c r="R114" s="14" t="str">
        <f ca="1">IFERROR(__xludf.DUMMYFUNCTION("""COMPUTED_VALUE"""),"-")</f>
        <v>-</v>
      </c>
      <c r="S114" s="14" t="str">
        <f ca="1">IFERROR(__xludf.DUMMYFUNCTION("""COMPUTED_VALUE"""),"-")</f>
        <v>-</v>
      </c>
      <c r="T114" s="14" t="str">
        <f ca="1">IFERROR(__xludf.DUMMYFUNCTION("""COMPUTED_VALUE"""),"-")</f>
        <v>-</v>
      </c>
      <c r="U114" s="14">
        <f ca="1">IFERROR(__xludf.DUMMYFUNCTION("""COMPUTED_VALUE"""),34)</f>
        <v>34</v>
      </c>
      <c r="V114" s="14" t="str">
        <f ca="1">IFERROR(__xludf.DUMMYFUNCTION("""COMPUTED_VALUE"""),"8300, 8210, 8382, 8340, 8330, 8220, 8660, 8000, 8362, 8361, 8320, 8310")</f>
        <v>8300, 8210, 8382, 8340, 8330, 8220, 8660, 8000, 8362, 8361, 8320, 8310</v>
      </c>
      <c r="W114" s="14">
        <f ca="1">IFERROR(__xludf.DUMMYFUNCTION("""COMPUTED_VALUE"""),31)</f>
        <v>31</v>
      </c>
      <c r="X114" s="14" t="str">
        <f ca="1">IFERROR(__xludf.DUMMYFUNCTION("""COMPUTED_VALUE"""),"8330, 8210, 8260, 8340, 8270, 8320, 8464, 8000, 8660, 8250, 8380, 8471, 8310, 8541, 8520")</f>
        <v>8330, 8210, 8260, 8340, 8270, 8320, 8464, 8000, 8660, 8250, 8380, 8471, 8310, 8541, 8520</v>
      </c>
      <c r="Y114" s="14" t="str">
        <f ca="1">IFERROR(__xludf.DUMMYFUNCTION("""COMPUTED_VALUE"""),"ja")</f>
        <v>ja</v>
      </c>
      <c r="Z114" s="14"/>
      <c r="AA114" s="14"/>
      <c r="AB114" s="14" t="str">
        <f ca="1">IFERROR(__xludf.DUMMYFUNCTION("""COMPUTED_VALUE"""),"x")</f>
        <v>x</v>
      </c>
      <c r="AC114" s="14" t="str">
        <f ca="1">IFERROR(__xludf.DUMMYFUNCTION("""COMPUTED_VALUE"""),"x")</f>
        <v>x</v>
      </c>
    </row>
    <row r="115" spans="1:29" ht="12.5" x14ac:dyDescent="0.25">
      <c r="A115" s="14" t="str">
        <f ca="1">IFERROR(__xludf.DUMMYFUNCTION("""COMPUTED_VALUE"""),"Camilla")</f>
        <v>Camilla</v>
      </c>
      <c r="B115" s="14" t="str">
        <f ca="1">IFERROR(__xludf.DUMMYFUNCTION("""COMPUTED_VALUE"""),"DITHJEM")</f>
        <v>DITHJEM</v>
      </c>
      <c r="C115" s="14">
        <f ca="1">IFERROR(__xludf.DUMMYFUNCTION("""COMPUTED_VALUE"""),38497820)</f>
        <v>38497820</v>
      </c>
      <c r="D115" s="14" t="str">
        <f ca="1">IFERROR(__xludf.DUMMYFUNCTION("""COMPUTED_VALUE"""),"MG-JY: 2.499,-")</f>
        <v>MG-JY: 2.499,-</v>
      </c>
      <c r="E115" s="14">
        <f ca="1">IFERROR(__xludf.DUMMYFUNCTION("""COMPUTED_VALUE"""),1201)</f>
        <v>1201</v>
      </c>
      <c r="F115" s="14" t="str">
        <f ca="1">IFERROR(__xludf.DUMMYFUNCTION("""COMPUTED_VALUE"""),"Christina Neve")</f>
        <v>Christina Neve</v>
      </c>
      <c r="G115" s="15" t="str">
        <f ca="1">IFERROR(__xludf.DUMMYFUNCTION("""COMPUTED_VALUE"""),"christina@dit-hjem.dk")</f>
        <v>christina@dit-hjem.dk</v>
      </c>
      <c r="H115" s="14">
        <f ca="1">IFERROR(__xludf.DUMMYFUNCTION("""COMPUTED_VALUE"""),25271616)</f>
        <v>25271616</v>
      </c>
      <c r="I115" s="14" t="str">
        <f ca="1">IFERROR(__xludf.DUMMYFUNCTION("""COMPUTED_VALUE"""),"Vesterbro 49 st. th")</f>
        <v>Vesterbro 49 st. th</v>
      </c>
      <c r="J115" s="14">
        <f ca="1">IFERROR(__xludf.DUMMYFUNCTION("""COMPUTED_VALUE"""),9000)</f>
        <v>9000</v>
      </c>
      <c r="K115" s="14" t="str">
        <f ca="1">IFERROR(__xludf.DUMMYFUNCTION("""COMPUTED_VALUE"""),"Aalborg")</f>
        <v>Aalborg</v>
      </c>
      <c r="L115" s="14" t="str">
        <f ca="1">IFERROR(__xludf.DUMMYFUNCTION("""COMPUTED_VALUE"""),"Aalborg")</f>
        <v>Aalborg</v>
      </c>
      <c r="M115" s="14" t="str">
        <f ca="1">IFERROR(__xludf.DUMMYFUNCTION("""COMPUTED_VALUE"""),"Nordjylland")</f>
        <v>Nordjylland</v>
      </c>
      <c r="N115" s="14" t="str">
        <f ca="1">IFERROR(__xludf.DUMMYFUNCTION("""COMPUTED_VALUE"""),"Nordjylland")</f>
        <v>Nordjylland</v>
      </c>
      <c r="O115" s="14" t="str">
        <f ca="1">IFERROR(__xludf.DUMMYFUNCTION("""COMPUTED_VALUE"""),"7216 1616")</f>
        <v>7216 1616</v>
      </c>
      <c r="P115" s="14" t="str">
        <f ca="1">IFERROR(__xludf.DUMMYFUNCTION("""COMPUTED_VALUE"""),"hjem@dit-hjem.dk")</f>
        <v>hjem@dit-hjem.dk</v>
      </c>
      <c r="Q115" s="15" t="str">
        <f ca="1">IFERROR(__xludf.DUMMYFUNCTION("""COMPUTED_VALUE"""),"https://www.boliga.dk/maegler/28683")</f>
        <v>https://www.boliga.dk/maegler/28683</v>
      </c>
      <c r="R115" s="14" t="str">
        <f ca="1">IFERROR(__xludf.DUMMYFUNCTION("""COMPUTED_VALUE"""),"-")</f>
        <v>-</v>
      </c>
      <c r="S115" s="14" t="str">
        <f ca="1">IFERROR(__xludf.DUMMYFUNCTION("""COMPUTED_VALUE"""),"-")</f>
        <v>-</v>
      </c>
      <c r="T115" s="14" t="str">
        <f ca="1">IFERROR(__xludf.DUMMYFUNCTION("""COMPUTED_VALUE"""),"-")</f>
        <v>-</v>
      </c>
      <c r="U115" s="14">
        <f ca="1">IFERROR(__xludf.DUMMYFUNCTION("""COMPUTED_VALUE"""),18)</f>
        <v>18</v>
      </c>
      <c r="V115" s="14" t="str">
        <f ca="1">IFERROR(__xludf.DUMMYFUNCTION("""COMPUTED_VALUE"""),"9530, 9000, 9490, 9200, 9220, 9240, 9440, 9575, 9700")</f>
        <v>9530, 9000, 9490, 9200, 9220, 9240, 9440, 9575, 9700</v>
      </c>
      <c r="W115" s="14">
        <f ca="1">IFERROR(__xludf.DUMMYFUNCTION("""COMPUTED_VALUE"""),14)</f>
        <v>14</v>
      </c>
      <c r="X115" s="14" t="str">
        <f ca="1">IFERROR(__xludf.DUMMYFUNCTION("""COMPUTED_VALUE"""),"9370, 9000, 9230, 9200, 9210, 9280, 9440, 9320")</f>
        <v>9370, 9000, 9230, 9200, 9210, 9280, 9440, 9320</v>
      </c>
      <c r="Y115" s="14" t="str">
        <f ca="1">IFERROR(__xludf.DUMMYFUNCTION("""COMPUTED_VALUE"""),"ja")</f>
        <v>ja</v>
      </c>
      <c r="Z115" s="14"/>
      <c r="AA115" s="14"/>
      <c r="AB115" s="14" t="str">
        <f ca="1">IFERROR(__xludf.DUMMYFUNCTION("""COMPUTED_VALUE"""),"x")</f>
        <v>x</v>
      </c>
      <c r="AC115" s="14" t="str">
        <f ca="1">IFERROR(__xludf.DUMMYFUNCTION("""COMPUTED_VALUE"""),"x")</f>
        <v>x</v>
      </c>
    </row>
    <row r="116" spans="1:29" ht="12.5" x14ac:dyDescent="0.25">
      <c r="A116" s="14" t="str">
        <f ca="1">IFERROR(__xludf.DUMMYFUNCTION("""COMPUTED_VALUE"""),"Camilla")</f>
        <v>Camilla</v>
      </c>
      <c r="B116" s="14" t="str">
        <f ca="1">IFERROR(__xludf.DUMMYFUNCTION("""COMPUTED_VALUE"""),"Ejendomsmægler Helge Smidt")</f>
        <v>Ejendomsmægler Helge Smidt</v>
      </c>
      <c r="C116" s="14">
        <f ca="1">IFERROR(__xludf.DUMMYFUNCTION("""COMPUTED_VALUE"""),87424251)</f>
        <v>87424251</v>
      </c>
      <c r="D116" s="14" t="str">
        <f ca="1">IFERROR(__xludf.DUMMYFUNCTION("""COMPUTED_VALUE"""),"MG-JY: 2.499,-")</f>
        <v>MG-JY: 2.499,-</v>
      </c>
      <c r="E116" s="14">
        <f ca="1">IFERROR(__xludf.DUMMYFUNCTION("""COMPUTED_VALUE"""),1201)</f>
        <v>1201</v>
      </c>
      <c r="F116" s="14" t="str">
        <f ca="1">IFERROR(__xludf.DUMMYFUNCTION("""COMPUTED_VALUE"""),"Helge Smidt")</f>
        <v>Helge Smidt</v>
      </c>
      <c r="G116" s="14" t="str">
        <f ca="1">IFERROR(__xludf.DUMMYFUNCTION("""COMPUTED_VALUE"""),"frederikshavn@helgesmidt.dk")</f>
        <v>frederikshavn@helgesmidt.dk</v>
      </c>
      <c r="H116" s="14">
        <f ca="1">IFERROR(__xludf.DUMMYFUNCTION("""COMPUTED_VALUE"""),98435500)</f>
        <v>98435500</v>
      </c>
      <c r="I116" s="14" t="str">
        <f ca="1">IFERROR(__xludf.DUMMYFUNCTION("""COMPUTED_VALUE"""),"Søndergade 70")</f>
        <v>Søndergade 70</v>
      </c>
      <c r="J116" s="14">
        <f ca="1">IFERROR(__xludf.DUMMYFUNCTION("""COMPUTED_VALUE"""),9900)</f>
        <v>9900</v>
      </c>
      <c r="K116" s="14" t="str">
        <f ca="1">IFERROR(__xludf.DUMMYFUNCTION("""COMPUTED_VALUE"""),"Frederikshavn")</f>
        <v>Frederikshavn</v>
      </c>
      <c r="L116" s="14" t="str">
        <f ca="1">IFERROR(__xludf.DUMMYFUNCTION("""COMPUTED_VALUE"""),"Frederikshavn")</f>
        <v>Frederikshavn</v>
      </c>
      <c r="M116" s="14" t="str">
        <f ca="1">IFERROR(__xludf.DUMMYFUNCTION("""COMPUTED_VALUE"""),"Nordjylland")</f>
        <v>Nordjylland</v>
      </c>
      <c r="N116" s="14" t="str">
        <f ca="1">IFERROR(__xludf.DUMMYFUNCTION("""COMPUTED_VALUE"""),"Nordjylland")</f>
        <v>Nordjylland</v>
      </c>
      <c r="O116" s="14">
        <f ca="1">IFERROR(__xludf.DUMMYFUNCTION("""COMPUTED_VALUE"""),98435500)</f>
        <v>98435500</v>
      </c>
      <c r="P116" s="14" t="str">
        <f ca="1">IFERROR(__xludf.DUMMYFUNCTION("""COMPUTED_VALUE"""),"frederikshavn@helgesmidt.dk")</f>
        <v>frederikshavn@helgesmidt.dk</v>
      </c>
      <c r="Q116" s="15" t="str">
        <f ca="1">IFERROR(__xludf.DUMMYFUNCTION("""COMPUTED_VALUE"""),"https://www.boliga.dk/maegler/24822")</f>
        <v>https://www.boliga.dk/maegler/24822</v>
      </c>
      <c r="R116" s="14" t="str">
        <f ca="1">IFERROR(__xludf.DUMMYFUNCTION("""COMPUTED_VALUE"""),"-")</f>
        <v>-</v>
      </c>
      <c r="S116" s="14" t="str">
        <f ca="1">IFERROR(__xludf.DUMMYFUNCTION("""COMPUTED_VALUE"""),"-")</f>
        <v>-</v>
      </c>
      <c r="T116" s="14" t="str">
        <f ca="1">IFERROR(__xludf.DUMMYFUNCTION("""COMPUTED_VALUE"""),"-")</f>
        <v>-</v>
      </c>
      <c r="U116" s="14">
        <f ca="1">IFERROR(__xludf.DUMMYFUNCTION("""COMPUTED_VALUE"""),41)</f>
        <v>41</v>
      </c>
      <c r="V116" s="14" t="str">
        <f ca="1">IFERROR(__xludf.DUMMYFUNCTION("""COMPUTED_VALUE"""),"9881, 9352, 9970, 9870, 9981, 9900")</f>
        <v>9881, 9352, 9970, 9870, 9981, 9900</v>
      </c>
      <c r="W116" s="14">
        <f ca="1">IFERROR(__xludf.DUMMYFUNCTION("""COMPUTED_VALUE"""),11)</f>
        <v>11</v>
      </c>
      <c r="X116" s="14" t="str">
        <f ca="1">IFERROR(__xludf.DUMMYFUNCTION("""COMPUTED_VALUE"""),"9970, 9900, 9981")</f>
        <v>9970, 9900, 9981</v>
      </c>
      <c r="Y116" s="14" t="str">
        <f ca="1">IFERROR(__xludf.DUMMYFUNCTION("""COMPUTED_VALUE"""),"ja")</f>
        <v>ja</v>
      </c>
      <c r="Z116" s="14"/>
      <c r="AA116" s="14"/>
      <c r="AB116" s="14" t="str">
        <f ca="1">IFERROR(__xludf.DUMMYFUNCTION("""COMPUTED_VALUE"""),"x")</f>
        <v>x</v>
      </c>
      <c r="AC116" s="14" t="str">
        <f ca="1">IFERROR(__xludf.DUMMYFUNCTION("""COMPUTED_VALUE"""),"x")</f>
        <v>x</v>
      </c>
    </row>
    <row r="117" spans="1:29" ht="12.5" x14ac:dyDescent="0.25">
      <c r="A117" s="14" t="str">
        <f ca="1">IFERROR(__xludf.DUMMYFUNCTION("""COMPUTED_VALUE"""),"Camilla")</f>
        <v>Camilla</v>
      </c>
      <c r="B117" s="14" t="str">
        <f ca="1">IFERROR(__xludf.DUMMYFUNCTION("""COMPUTED_VALUE"""),"Ejendomsmægler Jes Carlsen")</f>
        <v>Ejendomsmægler Jes Carlsen</v>
      </c>
      <c r="C117" s="14">
        <f ca="1">IFERROR(__xludf.DUMMYFUNCTION("""COMPUTED_VALUE"""),40746404)</f>
        <v>40746404</v>
      </c>
      <c r="D117" s="14" t="str">
        <f ca="1">IFERROR(__xludf.DUMMYFUNCTION("""COMPUTED_VALUE"""),"MG-JY: 2.499,-")</f>
        <v>MG-JY: 2.499,-</v>
      </c>
      <c r="E117" s="14">
        <f ca="1">IFERROR(__xludf.DUMMYFUNCTION("""COMPUTED_VALUE"""),1201)</f>
        <v>1201</v>
      </c>
      <c r="F117" s="14" t="str">
        <f ca="1">IFERROR(__xludf.DUMMYFUNCTION("""COMPUTED_VALUE"""),"Jes Carlsen")</f>
        <v>Jes Carlsen</v>
      </c>
      <c r="G117" s="14" t="str">
        <f ca="1">IFERROR(__xludf.DUMMYFUNCTION("""COMPUTED_VALUE"""),"jes@carlsenmaegler.dk")</f>
        <v>jes@carlsenmaegler.dk</v>
      </c>
      <c r="H117" s="14">
        <f ca="1">IFERROR(__xludf.DUMMYFUNCTION("""COMPUTED_VALUE"""),29705946)</f>
        <v>29705946</v>
      </c>
      <c r="I117" s="14" t="str">
        <f ca="1">IFERROR(__xludf.DUMMYFUNCTION("""COMPUTED_VALUE"""),"Virkelyst 11")</f>
        <v>Virkelyst 11</v>
      </c>
      <c r="J117" s="14">
        <f ca="1">IFERROR(__xludf.DUMMYFUNCTION("""COMPUTED_VALUE"""),9300)</f>
        <v>9300</v>
      </c>
      <c r="K117" s="14" t="str">
        <f ca="1">IFERROR(__xludf.DUMMYFUNCTION("""COMPUTED_VALUE"""),"Sæby")</f>
        <v>Sæby</v>
      </c>
      <c r="L117" s="14" t="str">
        <f ca="1">IFERROR(__xludf.DUMMYFUNCTION("""COMPUTED_VALUE"""),"Frederikshavn")</f>
        <v>Frederikshavn</v>
      </c>
      <c r="M117" s="14" t="str">
        <f ca="1">IFERROR(__xludf.DUMMYFUNCTION("""COMPUTED_VALUE"""),"Nordjylland")</f>
        <v>Nordjylland</v>
      </c>
      <c r="N117" s="14" t="str">
        <f ca="1">IFERROR(__xludf.DUMMYFUNCTION("""COMPUTED_VALUE"""),"Nordjylland")</f>
        <v>Nordjylland</v>
      </c>
      <c r="O117" s="14">
        <f ca="1">IFERROR(__xludf.DUMMYFUNCTION("""COMPUTED_VALUE"""),29705946)</f>
        <v>29705946</v>
      </c>
      <c r="P117" s="14" t="str">
        <f ca="1">IFERROR(__xludf.DUMMYFUNCTION("""COMPUTED_VALUE"""),"jes@carlsenmaegler.dk")</f>
        <v>jes@carlsenmaegler.dk</v>
      </c>
      <c r="Q117" s="15" t="str">
        <f ca="1">IFERROR(__xludf.DUMMYFUNCTION("""COMPUTED_VALUE"""),"https://www.boliga.dk/maegler/27520")</f>
        <v>https://www.boliga.dk/maegler/27520</v>
      </c>
      <c r="R117" s="14" t="str">
        <f ca="1">IFERROR(__xludf.DUMMYFUNCTION("""COMPUTED_VALUE"""),"-")</f>
        <v>-</v>
      </c>
      <c r="S117" s="14" t="str">
        <f ca="1">IFERROR(__xludf.DUMMYFUNCTION("""COMPUTED_VALUE"""),"-")</f>
        <v>-</v>
      </c>
      <c r="T117" s="14" t="str">
        <f ca="1">IFERROR(__xludf.DUMMYFUNCTION("""COMPUTED_VALUE"""),"-")</f>
        <v>-</v>
      </c>
      <c r="U117" s="14">
        <f ca="1">IFERROR(__xludf.DUMMYFUNCTION("""COMPUTED_VALUE"""),43)</f>
        <v>43</v>
      </c>
      <c r="V117" s="14" t="str">
        <f ca="1">IFERROR(__xludf.DUMMYFUNCTION("""COMPUTED_VALUE"""),"9900, 9870, 9300, 9881, 9982, 9750")</f>
        <v>9900, 9870, 9300, 9881, 9982, 9750</v>
      </c>
      <c r="W117" s="14">
        <f ca="1">IFERROR(__xludf.DUMMYFUNCTION("""COMPUTED_VALUE"""),23)</f>
        <v>23</v>
      </c>
      <c r="X117" s="14" t="str">
        <f ca="1">IFERROR(__xludf.DUMMYFUNCTION("""COMPUTED_VALUE"""),"9870, 9300, 9352, 9900, 9981, 9881, 9982, 9750")</f>
        <v>9870, 9300, 9352, 9900, 9981, 9881, 9982, 9750</v>
      </c>
      <c r="Y117" s="14" t="str">
        <f ca="1">IFERROR(__xludf.DUMMYFUNCTION("""COMPUTED_VALUE"""),"ja")</f>
        <v>ja</v>
      </c>
      <c r="Z117" s="14"/>
      <c r="AA117" s="14"/>
      <c r="AB117" s="14" t="str">
        <f ca="1">IFERROR(__xludf.DUMMYFUNCTION("""COMPUTED_VALUE"""),"x")</f>
        <v>x</v>
      </c>
      <c r="AC117" s="14" t="str">
        <f ca="1">IFERROR(__xludf.DUMMYFUNCTION("""COMPUTED_VALUE"""),"x")</f>
        <v>x</v>
      </c>
    </row>
    <row r="118" spans="1:29" ht="12.5" x14ac:dyDescent="0.25">
      <c r="A118" s="14" t="str">
        <f ca="1">IFERROR(__xludf.DUMMYFUNCTION("""COMPUTED_VALUE"""),"Camilla")</f>
        <v>Camilla</v>
      </c>
      <c r="B118" s="14" t="str">
        <f ca="1">IFERROR(__xludf.DUMMYFUNCTION("""COMPUTED_VALUE"""),"Fjordland Mægler")</f>
        <v>Fjordland Mægler</v>
      </c>
      <c r="C118" s="14">
        <f ca="1">IFERROR(__xludf.DUMMYFUNCTION("""COMPUTED_VALUE"""),41503610)</f>
        <v>41503610</v>
      </c>
      <c r="D118" s="14" t="str">
        <f ca="1">IFERROR(__xludf.DUMMYFUNCTION("""COMPUTED_VALUE"""),"MG-JY: 2.499,-")</f>
        <v>MG-JY: 2.499,-</v>
      </c>
      <c r="E118" s="14">
        <f ca="1">IFERROR(__xludf.DUMMYFUNCTION("""COMPUTED_VALUE"""),1201)</f>
        <v>1201</v>
      </c>
      <c r="F118" s="14" t="str">
        <f ca="1">IFERROR(__xludf.DUMMYFUNCTION("""COMPUTED_VALUE"""),"Ole Sand")</f>
        <v>Ole Sand</v>
      </c>
      <c r="G118" s="14" t="str">
        <f ca="1">IFERROR(__xludf.DUMMYFUNCTION("""COMPUTED_VALUE"""),"os@thymaeglerne.dk")</f>
        <v>os@thymaeglerne.dk</v>
      </c>
      <c r="H118" s="14">
        <f ca="1">IFERROR(__xludf.DUMMYFUNCTION("""COMPUTED_VALUE"""),96185765)</f>
        <v>96185765</v>
      </c>
      <c r="I118" s="14" t="str">
        <f ca="1">IFERROR(__xludf.DUMMYFUNCTION("""COMPUTED_VALUE"""),"Silstrupparken 2")</f>
        <v>Silstrupparken 2</v>
      </c>
      <c r="J118" s="14">
        <f ca="1">IFERROR(__xludf.DUMMYFUNCTION("""COMPUTED_VALUE"""),7700)</f>
        <v>7700</v>
      </c>
      <c r="K118" s="14" t="str">
        <f ca="1">IFERROR(__xludf.DUMMYFUNCTION("""COMPUTED_VALUE"""),"Thisted")</f>
        <v>Thisted</v>
      </c>
      <c r="L118" s="14" t="str">
        <f ca="1">IFERROR(__xludf.DUMMYFUNCTION("""COMPUTED_VALUE"""),"Thisted")</f>
        <v>Thisted</v>
      </c>
      <c r="M118" s="14" t="str">
        <f ca="1">IFERROR(__xludf.DUMMYFUNCTION("""COMPUTED_VALUE"""),"Nordjylland")</f>
        <v>Nordjylland</v>
      </c>
      <c r="N118" s="14" t="str">
        <f ca="1">IFERROR(__xludf.DUMMYFUNCTION("""COMPUTED_VALUE"""),"Nordjylland")</f>
        <v>Nordjylland</v>
      </c>
      <c r="O118" s="14" t="str">
        <f ca="1">IFERROR(__xludf.DUMMYFUNCTION("""COMPUTED_VALUE"""),"96 18 58 00")</f>
        <v>96 18 58 00</v>
      </c>
      <c r="P118" s="14" t="str">
        <f ca="1">IFERROR(__xludf.DUMMYFUNCTION("""COMPUTED_VALUE"""),"maegler@fjordland.dk")</f>
        <v>maegler@fjordland.dk</v>
      </c>
      <c r="Q118" s="15" t="str">
        <f ca="1">IFERROR(__xludf.DUMMYFUNCTION("""COMPUTED_VALUE"""),"https://www.boliga.dk/maegler/29037")</f>
        <v>https://www.boliga.dk/maegler/29037</v>
      </c>
      <c r="R118" s="14" t="str">
        <f ca="1">IFERROR(__xludf.DUMMYFUNCTION("""COMPUTED_VALUE"""),"-")</f>
        <v>-</v>
      </c>
      <c r="S118" s="14" t="str">
        <f ca="1">IFERROR(__xludf.DUMMYFUNCTION("""COMPUTED_VALUE"""),"-")</f>
        <v>-</v>
      </c>
      <c r="T118" s="14" t="str">
        <f ca="1">IFERROR(__xludf.DUMMYFUNCTION("""COMPUTED_VALUE"""),"-")</f>
        <v>-</v>
      </c>
      <c r="U118" s="14">
        <f ca="1">IFERROR(__xludf.DUMMYFUNCTION("""COMPUTED_VALUE"""),43)</f>
        <v>43</v>
      </c>
      <c r="V118" s="14" t="str">
        <f ca="1">IFERROR(__xludf.DUMMYFUNCTION("""COMPUTED_VALUE"""),"7752, 7742, 7760, 7700, 7950, 7770, 7990, 7790, 7960, 7900, 7970")</f>
        <v>7752, 7742, 7760, 7700, 7950, 7770, 7990, 7790, 7960, 7900, 7970</v>
      </c>
      <c r="W118" s="14" t="str">
        <f ca="1">IFERROR(__xludf.DUMMYFUNCTION("""COMPUTED_VALUE"""),"-")</f>
        <v>-</v>
      </c>
      <c r="X118" s="14" t="str">
        <f ca="1">IFERROR(__xludf.DUMMYFUNCTION("""COMPUTED_VALUE"""),"-")</f>
        <v>-</v>
      </c>
      <c r="Y118" s="14" t="str">
        <f ca="1">IFERROR(__xludf.DUMMYFUNCTION("""COMPUTED_VALUE"""),"ja")</f>
        <v>ja</v>
      </c>
      <c r="Z118" s="14"/>
      <c r="AA118" s="14"/>
      <c r="AB118" s="14" t="str">
        <f ca="1">IFERROR(__xludf.DUMMYFUNCTION("""COMPUTED_VALUE"""),"x")</f>
        <v>x</v>
      </c>
      <c r="AC118" s="14" t="str">
        <f ca="1">IFERROR(__xludf.DUMMYFUNCTION("""COMPUTED_VALUE"""),"x")</f>
        <v>x</v>
      </c>
    </row>
    <row r="119" spans="1:29" ht="12.5" x14ac:dyDescent="0.25">
      <c r="A119" s="14" t="str">
        <f ca="1">IFERROR(__xludf.DUMMYFUNCTION("""COMPUTED_VALUE"""),"Camilla")</f>
        <v>Camilla</v>
      </c>
      <c r="B119" s="14" t="str">
        <f ca="1">IFERROR(__xludf.DUMMYFUNCTION("""COMPUTED_VALUE"""),"Jysk Mægler")</f>
        <v>Jysk Mægler</v>
      </c>
      <c r="C119" s="14">
        <f ca="1">IFERROR(__xludf.DUMMYFUNCTION("""COMPUTED_VALUE"""),40308377)</f>
        <v>40308377</v>
      </c>
      <c r="D119" s="14" t="str">
        <f ca="1">IFERROR(__xludf.DUMMYFUNCTION("""COMPUTED_VALUE"""),"MG-JY: 2.499,-")</f>
        <v>MG-JY: 2.499,-</v>
      </c>
      <c r="E119" s="14">
        <f ca="1">IFERROR(__xludf.DUMMYFUNCTION("""COMPUTED_VALUE"""),1201)</f>
        <v>1201</v>
      </c>
      <c r="F119" s="14" t="str">
        <f ca="1">IFERROR(__xludf.DUMMYFUNCTION("""COMPUTED_VALUE"""),"Kenneth Laustsen")</f>
        <v>Kenneth Laustsen</v>
      </c>
      <c r="G119" s="14" t="str">
        <f ca="1">IFERROR(__xludf.DUMMYFUNCTION("""COMPUTED_VALUE"""),"kenneth@jyskmaegler.dk")</f>
        <v>kenneth@jyskmaegler.dk</v>
      </c>
      <c r="H119" s="14">
        <f ca="1">IFERROR(__xludf.DUMMYFUNCTION("""COMPUTED_VALUE"""),60572199)</f>
        <v>60572199</v>
      </c>
      <c r="I119" s="14" t="str">
        <f ca="1">IFERROR(__xludf.DUMMYFUNCTION("""COMPUTED_VALUE"""),"Lindskovvej 36")</f>
        <v>Lindskovvej 36</v>
      </c>
      <c r="J119" s="14">
        <f ca="1">IFERROR(__xludf.DUMMYFUNCTION("""COMPUTED_VALUE"""),9000)</f>
        <v>9000</v>
      </c>
      <c r="K119" s="14" t="str">
        <f ca="1">IFERROR(__xludf.DUMMYFUNCTION("""COMPUTED_VALUE"""),"Aalborg")</f>
        <v>Aalborg</v>
      </c>
      <c r="L119" s="14" t="str">
        <f ca="1">IFERROR(__xludf.DUMMYFUNCTION("""COMPUTED_VALUE"""),"Aalborg")</f>
        <v>Aalborg</v>
      </c>
      <c r="M119" s="14" t="str">
        <f ca="1">IFERROR(__xludf.DUMMYFUNCTION("""COMPUTED_VALUE"""),"Nordjylland")</f>
        <v>Nordjylland</v>
      </c>
      <c r="N119" s="14" t="str">
        <f ca="1">IFERROR(__xludf.DUMMYFUNCTION("""COMPUTED_VALUE"""),"Nordjylland")</f>
        <v>Nordjylland</v>
      </c>
      <c r="O119" s="14">
        <f ca="1">IFERROR(__xludf.DUMMYFUNCTION("""COMPUTED_VALUE"""),39399000)</f>
        <v>39399000</v>
      </c>
      <c r="P119" s="14" t="str">
        <f ca="1">IFERROR(__xludf.DUMMYFUNCTION("""COMPUTED_VALUE"""),"info@jyskmaegler.dk")</f>
        <v>info@jyskmaegler.dk</v>
      </c>
      <c r="Q119" s="15" t="str">
        <f ca="1">IFERROR(__xludf.DUMMYFUNCTION("""COMPUTED_VALUE"""),"https://www.boliga.dk/maegler/27134")</f>
        <v>https://www.boliga.dk/maegler/27134</v>
      </c>
      <c r="R119" s="14" t="str">
        <f ca="1">IFERROR(__xludf.DUMMYFUNCTION("""COMPUTED_VALUE"""),"-")</f>
        <v>-</v>
      </c>
      <c r="S119" s="14" t="str">
        <f ca="1">IFERROR(__xludf.DUMMYFUNCTION("""COMPUTED_VALUE"""),"-")</f>
        <v>-</v>
      </c>
      <c r="T119" s="14" t="str">
        <f ca="1">IFERROR(__xludf.DUMMYFUNCTION("""COMPUTED_VALUE"""),"-")</f>
        <v>-</v>
      </c>
      <c r="U119" s="14">
        <f ca="1">IFERROR(__xludf.DUMMYFUNCTION("""COMPUTED_VALUE"""),16)</f>
        <v>16</v>
      </c>
      <c r="V119" s="14" t="str">
        <f ca="1">IFERROR(__xludf.DUMMYFUNCTION("""COMPUTED_VALUE"""),"9000, 9800, 9381, 9352, 9400, 9900, 9300, 9330, 9700")</f>
        <v>9000, 9800, 9381, 9352, 9400, 9900, 9300, 9330, 9700</v>
      </c>
      <c r="W119" s="14">
        <f ca="1">IFERROR(__xludf.DUMMYFUNCTION("""COMPUTED_VALUE"""),3)</f>
        <v>3</v>
      </c>
      <c r="X119" s="14" t="str">
        <f ca="1">IFERROR(__xludf.DUMMYFUNCTION("""COMPUTED_VALUE"""),"9220, 9900, 9300")</f>
        <v>9220, 9900, 9300</v>
      </c>
      <c r="Y119" s="14" t="str">
        <f ca="1">IFERROR(__xludf.DUMMYFUNCTION("""COMPUTED_VALUE"""),"ja")</f>
        <v>ja</v>
      </c>
      <c r="Z119" s="14"/>
      <c r="AA119" s="14"/>
      <c r="AB119" s="14" t="str">
        <f ca="1">IFERROR(__xludf.DUMMYFUNCTION("""COMPUTED_VALUE"""),"x")</f>
        <v>x</v>
      </c>
      <c r="AC119" s="14" t="str">
        <f ca="1">IFERROR(__xludf.DUMMYFUNCTION("""COMPUTED_VALUE"""),"x")</f>
        <v>x</v>
      </c>
    </row>
    <row r="120" spans="1:29" ht="12.5" x14ac:dyDescent="0.25">
      <c r="A120" s="14" t="str">
        <f ca="1">IFERROR(__xludf.DUMMYFUNCTION("""COMPUTED_VALUE"""),"Camilla")</f>
        <v>Camilla</v>
      </c>
      <c r="B120" s="14" t="str">
        <f ca="1">IFERROR(__xludf.DUMMYFUNCTION("""COMPUTED_VALUE"""),"KEC BOLIG ApS")</f>
        <v>KEC BOLIG ApS</v>
      </c>
      <c r="C120" s="14">
        <f ca="1">IFERROR(__xludf.DUMMYFUNCTION("""COMPUTED_VALUE"""),31063159)</f>
        <v>31063159</v>
      </c>
      <c r="D120" s="14" t="str">
        <f ca="1">IFERROR(__xludf.DUMMYFUNCTION("""COMPUTED_VALUE"""),"MG-JY: 2.499,-")</f>
        <v>MG-JY: 2.499,-</v>
      </c>
      <c r="E120" s="14">
        <f ca="1">IFERROR(__xludf.DUMMYFUNCTION("""COMPUTED_VALUE"""),1201)</f>
        <v>1201</v>
      </c>
      <c r="F120" s="14" t="str">
        <f ca="1">IFERROR(__xludf.DUMMYFUNCTION("""COMPUTED_VALUE"""),"Knud Erik Christiansen")</f>
        <v>Knud Erik Christiansen</v>
      </c>
      <c r="G120" s="14" t="str">
        <f ca="1">IFERROR(__xludf.DUMMYFUNCTION("""COMPUTED_VALUE"""),"knuderik@kecbolig.dk")</f>
        <v>knuderik@kecbolig.dk</v>
      </c>
      <c r="H120" s="14">
        <f ca="1">IFERROR(__xludf.DUMMYFUNCTION("""COMPUTED_VALUE"""),23952503)</f>
        <v>23952503</v>
      </c>
      <c r="I120" s="14" t="str">
        <f ca="1">IFERROR(__xludf.DUMMYFUNCTION("""COMPUTED_VALUE"""),"Halsvej 252, Vester Hassing")</f>
        <v>Halsvej 252, Vester Hassing</v>
      </c>
      <c r="J120" s="14">
        <f ca="1">IFERROR(__xludf.DUMMYFUNCTION("""COMPUTED_VALUE"""),9310)</f>
        <v>9310</v>
      </c>
      <c r="K120" s="14" t="str">
        <f ca="1">IFERROR(__xludf.DUMMYFUNCTION("""COMPUTED_VALUE"""),"Vodskov")</f>
        <v>Vodskov</v>
      </c>
      <c r="L120" s="14" t="str">
        <f ca="1">IFERROR(__xludf.DUMMYFUNCTION("""COMPUTED_VALUE"""),"Aalborg")</f>
        <v>Aalborg</v>
      </c>
      <c r="M120" s="14" t="str">
        <f ca="1">IFERROR(__xludf.DUMMYFUNCTION("""COMPUTED_VALUE"""),"Nordjylland")</f>
        <v>Nordjylland</v>
      </c>
      <c r="N120" s="14" t="str">
        <f ca="1">IFERROR(__xludf.DUMMYFUNCTION("""COMPUTED_VALUE"""),"Nordjylland")</f>
        <v>Nordjylland</v>
      </c>
      <c r="O120" s="14">
        <f ca="1">IFERROR(__xludf.DUMMYFUNCTION("""COMPUTED_VALUE"""),98255300)</f>
        <v>98255300</v>
      </c>
      <c r="P120" s="14" t="str">
        <f ca="1">IFERROR(__xludf.DUMMYFUNCTION("""COMPUTED_VALUE"""),"vh@kecbolig.dk")</f>
        <v>vh@kecbolig.dk</v>
      </c>
      <c r="Q120" s="15" t="str">
        <f ca="1">IFERROR(__xludf.DUMMYFUNCTION("""COMPUTED_VALUE"""),"https://www.boliga.dk/maegler/17166")</f>
        <v>https://www.boliga.dk/maegler/17166</v>
      </c>
      <c r="R120" s="14" t="str">
        <f ca="1">IFERROR(__xludf.DUMMYFUNCTION("""COMPUTED_VALUE"""),"-")</f>
        <v>-</v>
      </c>
      <c r="S120" s="14" t="str">
        <f ca="1">IFERROR(__xludf.DUMMYFUNCTION("""COMPUTED_VALUE"""),"-")</f>
        <v>-</v>
      </c>
      <c r="T120" s="14" t="str">
        <f ca="1">IFERROR(__xludf.DUMMYFUNCTION("""COMPUTED_VALUE"""),"-")</f>
        <v>-</v>
      </c>
      <c r="U120" s="14">
        <f ca="1">IFERROR(__xludf.DUMMYFUNCTION("""COMPUTED_VALUE"""),22)</f>
        <v>22</v>
      </c>
      <c r="V120" s="14" t="str">
        <f ca="1">IFERROR(__xludf.DUMMYFUNCTION("""COMPUTED_VALUE"""),"9310, 9280, 9370, 9340, 9330, 9362")</f>
        <v>9310, 9280, 9370, 9340, 9330, 9362</v>
      </c>
      <c r="W120" s="14">
        <f ca="1">IFERROR(__xludf.DUMMYFUNCTION("""COMPUTED_VALUE"""),5)</f>
        <v>5</v>
      </c>
      <c r="X120" s="14" t="str">
        <f ca="1">IFERROR(__xludf.DUMMYFUNCTION("""COMPUTED_VALUE"""),"9310, 9370, 9280, 9330")</f>
        <v>9310, 9370, 9280, 9330</v>
      </c>
      <c r="Y120" s="14" t="str">
        <f ca="1">IFERROR(__xludf.DUMMYFUNCTION("""COMPUTED_VALUE"""),"ja")</f>
        <v>ja</v>
      </c>
      <c r="Z120" s="14"/>
      <c r="AA120" s="14"/>
      <c r="AB120" s="14" t="str">
        <f ca="1">IFERROR(__xludf.DUMMYFUNCTION("""COMPUTED_VALUE"""),"x")</f>
        <v>x</v>
      </c>
      <c r="AC120" s="14" t="str">
        <f ca="1">IFERROR(__xludf.DUMMYFUNCTION("""COMPUTED_VALUE"""),"x")</f>
        <v>x</v>
      </c>
    </row>
    <row r="121" spans="1:29" ht="12.5" x14ac:dyDescent="0.25">
      <c r="A121" s="14" t="str">
        <f ca="1">IFERROR(__xludf.DUMMYFUNCTION("""COMPUTED_VALUE"""),"Camilla")</f>
        <v>Camilla</v>
      </c>
      <c r="B121" s="14" t="str">
        <f ca="1">IFERROR(__xludf.DUMMYFUNCTION("""COMPUTED_VALUE"""),"Mæglerfirma Asger Larsen")</f>
        <v>Mæglerfirma Asger Larsen</v>
      </c>
      <c r="C121" s="14">
        <f ca="1">IFERROR(__xludf.DUMMYFUNCTION("""COMPUTED_VALUE"""),42252166)</f>
        <v>42252166</v>
      </c>
      <c r="D121" s="14" t="str">
        <f ca="1">IFERROR(__xludf.DUMMYFUNCTION("""COMPUTED_VALUE"""),"MG-JY: 2.499,-")</f>
        <v>MG-JY: 2.499,-</v>
      </c>
      <c r="E121" s="14">
        <f ca="1">IFERROR(__xludf.DUMMYFUNCTION("""COMPUTED_VALUE"""),1201)</f>
        <v>1201</v>
      </c>
      <c r="F121" s="14" t="str">
        <f ca="1">IFERROR(__xludf.DUMMYFUNCTION("""COMPUTED_VALUE"""),"Allan Kristensen")</f>
        <v>Allan Kristensen</v>
      </c>
      <c r="G121" s="14" t="str">
        <f ca="1">IFERROR(__xludf.DUMMYFUNCTION("""COMPUTED_VALUE"""),"allan@maegleren.dk")</f>
        <v>allan@maegleren.dk</v>
      </c>
      <c r="H121" s="14">
        <f ca="1">IFERROR(__xludf.DUMMYFUNCTION("""COMPUTED_VALUE"""),40477913)</f>
        <v>40477913</v>
      </c>
      <c r="I121" s="14" t="str">
        <f ca="1">IFERROR(__xludf.DUMMYFUNCTION("""COMPUTED_VALUE"""),"Østerbrogade 7")</f>
        <v>Østerbrogade 7</v>
      </c>
      <c r="J121" s="14">
        <f ca="1">IFERROR(__xludf.DUMMYFUNCTION("""COMPUTED_VALUE"""),9670)</f>
        <v>9670</v>
      </c>
      <c r="K121" s="14" t="str">
        <f ca="1">IFERROR(__xludf.DUMMYFUNCTION("""COMPUTED_VALUE"""),"Løgstør")</f>
        <v>Løgstør</v>
      </c>
      <c r="L121" s="14" t="str">
        <f ca="1">IFERROR(__xludf.DUMMYFUNCTION("""COMPUTED_VALUE"""),"Vesthimmerlands")</f>
        <v>Vesthimmerlands</v>
      </c>
      <c r="M121" s="14" t="str">
        <f ca="1">IFERROR(__xludf.DUMMYFUNCTION("""COMPUTED_VALUE"""),"Nordjylland")</f>
        <v>Nordjylland</v>
      </c>
      <c r="N121" s="14" t="str">
        <f ca="1">IFERROR(__xludf.DUMMYFUNCTION("""COMPUTED_VALUE"""),"Nordjylland")</f>
        <v>Nordjylland</v>
      </c>
      <c r="O121" s="14">
        <f ca="1">IFERROR(__xludf.DUMMYFUNCTION("""COMPUTED_VALUE"""),98678132)</f>
        <v>98678132</v>
      </c>
      <c r="P121" s="14" t="str">
        <f ca="1">IFERROR(__xludf.DUMMYFUNCTION("""COMPUTED_VALUE"""),"hovedmail@maegleren.dk")</f>
        <v>hovedmail@maegleren.dk</v>
      </c>
      <c r="Q121" s="15" t="str">
        <f ca="1">IFERROR(__xludf.DUMMYFUNCTION("""COMPUTED_VALUE"""),"https://www.boliga.dk/maegler/26338")</f>
        <v>https://www.boliga.dk/maegler/26338</v>
      </c>
      <c r="R121" s="14" t="str">
        <f ca="1">IFERROR(__xludf.DUMMYFUNCTION("""COMPUTED_VALUE"""),"-")</f>
        <v>-</v>
      </c>
      <c r="S121" s="14" t="str">
        <f ca="1">IFERROR(__xludf.DUMMYFUNCTION("""COMPUTED_VALUE"""),"-")</f>
        <v>-</v>
      </c>
      <c r="T121" s="14" t="str">
        <f ca="1">IFERROR(__xludf.DUMMYFUNCTION("""COMPUTED_VALUE"""),"-")</f>
        <v>-</v>
      </c>
      <c r="U121" s="14">
        <f ca="1">IFERROR(__xludf.DUMMYFUNCTION("""COMPUTED_VALUE"""),23)</f>
        <v>23</v>
      </c>
      <c r="V121" s="14" t="str">
        <f ca="1">IFERROR(__xludf.DUMMYFUNCTION("""COMPUTED_VALUE"""),"9240, 8832, 9460, 9670, 9681, 9690, 9600, 9640")</f>
        <v>9240, 8832, 9460, 9670, 9681, 9690, 9600, 9640</v>
      </c>
      <c r="W121" s="14">
        <f ca="1">IFERROR(__xludf.DUMMYFUNCTION("""COMPUTED_VALUE"""),5)</f>
        <v>5</v>
      </c>
      <c r="X121" s="14" t="str">
        <f ca="1">IFERROR(__xludf.DUMMYFUNCTION("""COMPUTED_VALUE"""),"9240, 9670, 9600, 8832, 8883, 9690, 9640, 9681")</f>
        <v>9240, 9670, 9600, 8832, 8883, 9690, 9640, 9681</v>
      </c>
      <c r="Y121" s="14" t="str">
        <f ca="1">IFERROR(__xludf.DUMMYFUNCTION("""COMPUTED_VALUE"""),"ja")</f>
        <v>ja</v>
      </c>
      <c r="Z121" s="14"/>
      <c r="AA121" s="14"/>
      <c r="AB121" s="14" t="str">
        <f ca="1">IFERROR(__xludf.DUMMYFUNCTION("""COMPUTED_VALUE"""),"x")</f>
        <v>x</v>
      </c>
      <c r="AC121" s="14" t="str">
        <f ca="1">IFERROR(__xludf.DUMMYFUNCTION("""COMPUTED_VALUE"""),"x")</f>
        <v>x</v>
      </c>
    </row>
    <row r="122" spans="1:29" ht="12.5" x14ac:dyDescent="0.25">
      <c r="A122" s="14" t="str">
        <f ca="1">IFERROR(__xludf.DUMMYFUNCTION("""COMPUTED_VALUE"""),"Camilla")</f>
        <v>Camilla</v>
      </c>
      <c r="B122" s="14" t="str">
        <f ca="1">IFERROR(__xludf.DUMMYFUNCTION("""COMPUTED_VALUE"""),"Mæglerfirma Asger Larsen")</f>
        <v>Mæglerfirma Asger Larsen</v>
      </c>
      <c r="C122" s="14">
        <f ca="1">IFERROR(__xludf.DUMMYFUNCTION("""COMPUTED_VALUE"""),42252166)</f>
        <v>42252166</v>
      </c>
      <c r="D122" s="14" t="str">
        <f ca="1">IFERROR(__xludf.DUMMYFUNCTION("""COMPUTED_VALUE"""),"MG-JY: 2.499,-")</f>
        <v>MG-JY: 2.499,-</v>
      </c>
      <c r="E122" s="14">
        <f ca="1">IFERROR(__xludf.DUMMYFUNCTION("""COMPUTED_VALUE"""),1201)</f>
        <v>1201</v>
      </c>
      <c r="F122" s="14" t="str">
        <f ca="1">IFERROR(__xludf.DUMMYFUNCTION("""COMPUTED_VALUE"""),"Allan Kristensen")</f>
        <v>Allan Kristensen</v>
      </c>
      <c r="G122" s="14" t="str">
        <f ca="1">IFERROR(__xludf.DUMMYFUNCTION("""COMPUTED_VALUE"""),"allan@maegleren.dk")</f>
        <v>allan@maegleren.dk</v>
      </c>
      <c r="H122" s="14">
        <f ca="1">IFERROR(__xludf.DUMMYFUNCTION("""COMPUTED_VALUE"""),40477913)</f>
        <v>40477913</v>
      </c>
      <c r="I122" s="14" t="str">
        <f ca="1">IFERROR(__xludf.DUMMYFUNCTION("""COMPUTED_VALUE"""),"Østerbrogade 7")</f>
        <v>Østerbrogade 7</v>
      </c>
      <c r="J122" s="14">
        <f ca="1">IFERROR(__xludf.DUMMYFUNCTION("""COMPUTED_VALUE"""),9670)</f>
        <v>9670</v>
      </c>
      <c r="K122" s="14" t="str">
        <f ca="1">IFERROR(__xludf.DUMMYFUNCTION("""COMPUTED_VALUE"""),"Løgstør")</f>
        <v>Løgstør</v>
      </c>
      <c r="L122" s="14" t="str">
        <f ca="1">IFERROR(__xludf.DUMMYFUNCTION("""COMPUTED_VALUE"""),"Vesthimmerlands")</f>
        <v>Vesthimmerlands</v>
      </c>
      <c r="M122" s="14" t="str">
        <f ca="1">IFERROR(__xludf.DUMMYFUNCTION("""COMPUTED_VALUE"""),"Nordjylland")</f>
        <v>Nordjylland</v>
      </c>
      <c r="N122" s="14" t="str">
        <f ca="1">IFERROR(__xludf.DUMMYFUNCTION("""COMPUTED_VALUE"""),"Nordjylland")</f>
        <v>Nordjylland</v>
      </c>
      <c r="O122" s="14">
        <f ca="1">IFERROR(__xludf.DUMMYFUNCTION("""COMPUTED_VALUE"""),98678132)</f>
        <v>98678132</v>
      </c>
      <c r="P122" s="14" t="str">
        <f ca="1">IFERROR(__xludf.DUMMYFUNCTION("""COMPUTED_VALUE"""),"hovedmail@maegleren.dk")</f>
        <v>hovedmail@maegleren.dk</v>
      </c>
      <c r="Q122" s="15" t="str">
        <f ca="1">IFERROR(__xludf.DUMMYFUNCTION("""COMPUTED_VALUE"""),"https://www.boliga.dk/maegler/26438")</f>
        <v>https://www.boliga.dk/maegler/26438</v>
      </c>
      <c r="R122" s="14" t="str">
        <f ca="1">IFERROR(__xludf.DUMMYFUNCTION("""COMPUTED_VALUE"""),"-")</f>
        <v>-</v>
      </c>
      <c r="S122" s="14" t="str">
        <f ca="1">IFERROR(__xludf.DUMMYFUNCTION("""COMPUTED_VALUE"""),"-")</f>
        <v>-</v>
      </c>
      <c r="T122" s="14" t="str">
        <f ca="1">IFERROR(__xludf.DUMMYFUNCTION("""COMPUTED_VALUE"""),"-")</f>
        <v>-</v>
      </c>
      <c r="U122" s="14">
        <f ca="1">IFERROR(__xludf.DUMMYFUNCTION("""COMPUTED_VALUE"""),92)</f>
        <v>92</v>
      </c>
      <c r="V122" s="14" t="str">
        <f ca="1">IFERROR(__xludf.DUMMYFUNCTION("""COMPUTED_VALUE"""),"9240, 8832, 9460, 9670, 9681, 9690, 9600, 9640")</f>
        <v>9240, 8832, 9460, 9670, 9681, 9690, 9600, 9640</v>
      </c>
      <c r="W122" s="14">
        <f ca="1">IFERROR(__xludf.DUMMYFUNCTION("""COMPUTED_VALUE"""),40)</f>
        <v>40</v>
      </c>
      <c r="X122" s="14" t="str">
        <f ca="1">IFERROR(__xludf.DUMMYFUNCTION("""COMPUTED_VALUE"""),"9240, 9670, 9600, 8832, 8883, 9690, 9640, 9681")</f>
        <v>9240, 9670, 9600, 8832, 8883, 9690, 9640, 9681</v>
      </c>
      <c r="Y122" s="14" t="str">
        <f ca="1">IFERROR(__xludf.DUMMYFUNCTION("""COMPUTED_VALUE"""),"ja")</f>
        <v>ja</v>
      </c>
      <c r="Z122" s="14"/>
      <c r="AA122" s="14"/>
      <c r="AB122" s="14" t="str">
        <f ca="1">IFERROR(__xludf.DUMMYFUNCTION("""COMPUTED_VALUE"""),"x")</f>
        <v>x</v>
      </c>
      <c r="AC122" s="14" t="str">
        <f ca="1">IFERROR(__xludf.DUMMYFUNCTION("""COMPUTED_VALUE"""),"x")</f>
        <v>x</v>
      </c>
    </row>
    <row r="123" spans="1:29" ht="12.5" x14ac:dyDescent="0.25">
      <c r="A123" s="14" t="str">
        <f ca="1">IFERROR(__xludf.DUMMYFUNCTION("""COMPUTED_VALUE"""),"Camilla")</f>
        <v>Camilla</v>
      </c>
      <c r="B123" s="14" t="str">
        <f ca="1">IFERROR(__xludf.DUMMYFUNCTION("""COMPUTED_VALUE"""),"Mæglerhuset Dronninglund")</f>
        <v>Mæglerhuset Dronninglund</v>
      </c>
      <c r="C123" s="14">
        <f ca="1">IFERROR(__xludf.DUMMYFUNCTION("""COMPUTED_VALUE"""),35135944)</f>
        <v>35135944</v>
      </c>
      <c r="D123" s="14" t="str">
        <f ca="1">IFERROR(__xludf.DUMMYFUNCTION("""COMPUTED_VALUE"""),"MG-JY: 2.499,-")</f>
        <v>MG-JY: 2.499,-</v>
      </c>
      <c r="E123" s="14">
        <f ca="1">IFERROR(__xludf.DUMMYFUNCTION("""COMPUTED_VALUE"""),1201)</f>
        <v>1201</v>
      </c>
      <c r="F123" s="14" t="str">
        <f ca="1">IFERROR(__xludf.DUMMYFUNCTION("""COMPUTED_VALUE"""),"Thomas Andersen")</f>
        <v>Thomas Andersen</v>
      </c>
      <c r="G123" s="14" t="str">
        <f ca="1">IFERROR(__xludf.DUMMYFUNCTION("""COMPUTED_VALUE"""),"thomas@maeglerhuset.dk")</f>
        <v>thomas@maeglerhuset.dk</v>
      </c>
      <c r="H123" s="14">
        <f ca="1">IFERROR(__xludf.DUMMYFUNCTION("""COMPUTED_VALUE"""),41909000)</f>
        <v>41909000</v>
      </c>
      <c r="I123" s="14" t="str">
        <f ca="1">IFERROR(__xludf.DUMMYFUNCTION("""COMPUTED_VALUE"""),"Slotsgade 72")</f>
        <v>Slotsgade 72</v>
      </c>
      <c r="J123" s="14">
        <f ca="1">IFERROR(__xludf.DUMMYFUNCTION("""COMPUTED_VALUE"""),9330)</f>
        <v>9330</v>
      </c>
      <c r="K123" s="14" t="str">
        <f ca="1">IFERROR(__xludf.DUMMYFUNCTION("""COMPUTED_VALUE"""),"Dronninglund")</f>
        <v>Dronninglund</v>
      </c>
      <c r="L123" s="14" t="str">
        <f ca="1">IFERROR(__xludf.DUMMYFUNCTION("""COMPUTED_VALUE"""),"Brønderslev")</f>
        <v>Brønderslev</v>
      </c>
      <c r="M123" s="14" t="str">
        <f ca="1">IFERROR(__xludf.DUMMYFUNCTION("""COMPUTED_VALUE"""),"Nordjylland")</f>
        <v>Nordjylland</v>
      </c>
      <c r="N123" s="14" t="str">
        <f ca="1">IFERROR(__xludf.DUMMYFUNCTION("""COMPUTED_VALUE"""),"Nordjylland")</f>
        <v>Nordjylland</v>
      </c>
      <c r="O123" s="14">
        <f ca="1">IFERROR(__xludf.DUMMYFUNCTION("""COMPUTED_VALUE"""),50929929)</f>
        <v>50929929</v>
      </c>
      <c r="P123" s="14" t="str">
        <f ca="1">IFERROR(__xludf.DUMMYFUNCTION("""COMPUTED_VALUE"""),"info@maeglerhuset.dk")</f>
        <v>info@maeglerhuset.dk</v>
      </c>
      <c r="Q123" s="15" t="str">
        <f ca="1">IFERROR(__xludf.DUMMYFUNCTION("""COMPUTED_VALUE"""),"https://www.boliga.dk/maegler/21053")</f>
        <v>https://www.boliga.dk/maegler/21053</v>
      </c>
      <c r="R123" s="14" t="str">
        <f ca="1">IFERROR(__xludf.DUMMYFUNCTION("""COMPUTED_VALUE"""),"-")</f>
        <v>-</v>
      </c>
      <c r="S123" s="14" t="str">
        <f ca="1">IFERROR(__xludf.DUMMYFUNCTION("""COMPUTED_VALUE"""),"-")</f>
        <v>-</v>
      </c>
      <c r="T123" s="14" t="str">
        <f ca="1">IFERROR(__xludf.DUMMYFUNCTION("""COMPUTED_VALUE"""),"-")</f>
        <v>-</v>
      </c>
      <c r="U123" s="14">
        <f ca="1">IFERROR(__xludf.DUMMYFUNCTION("""COMPUTED_VALUE"""),46)</f>
        <v>46</v>
      </c>
      <c r="V123" s="14" t="str">
        <f ca="1">IFERROR(__xludf.DUMMYFUNCTION("""COMPUTED_VALUE"""),"9300, 9320, 9362, 9330, 9352, 9340, 9370")</f>
        <v>9300, 9320, 9362, 9330, 9352, 9340, 9370</v>
      </c>
      <c r="W123" s="14">
        <f ca="1">IFERROR(__xludf.DUMMYFUNCTION("""COMPUTED_VALUE"""),26)</f>
        <v>26</v>
      </c>
      <c r="X123" s="14" t="str">
        <f ca="1">IFERROR(__xludf.DUMMYFUNCTION("""COMPUTED_VALUE"""),"9330, 9320, 9340")</f>
        <v>9330, 9320, 9340</v>
      </c>
      <c r="Y123" s="14" t="str">
        <f ca="1">IFERROR(__xludf.DUMMYFUNCTION("""COMPUTED_VALUE"""),"ja")</f>
        <v>ja</v>
      </c>
      <c r="Z123" s="14"/>
      <c r="AA123" s="14"/>
      <c r="AB123" s="14" t="str">
        <f ca="1">IFERROR(__xludf.DUMMYFUNCTION("""COMPUTED_VALUE"""),"x")</f>
        <v>x</v>
      </c>
      <c r="AC123" s="14" t="str">
        <f ca="1">IFERROR(__xludf.DUMMYFUNCTION("""COMPUTED_VALUE"""),"x")</f>
        <v>x</v>
      </c>
    </row>
    <row r="124" spans="1:29" ht="12.5" x14ac:dyDescent="0.25">
      <c r="A124" s="14" t="str">
        <f ca="1">IFERROR(__xludf.DUMMYFUNCTION("""COMPUTED_VALUE"""),"Camilla")</f>
        <v>Camilla</v>
      </c>
      <c r="B124" s="14" t="str">
        <f ca="1">IFERROR(__xludf.DUMMYFUNCTION("""COMPUTED_VALUE"""),"Mæglerhuset Nørresundby")</f>
        <v>Mæglerhuset Nørresundby</v>
      </c>
      <c r="C124" s="14">
        <f ca="1">IFERROR(__xludf.DUMMYFUNCTION("""COMPUTED_VALUE"""),35135944)</f>
        <v>35135944</v>
      </c>
      <c r="D124" s="14" t="str">
        <f ca="1">IFERROR(__xludf.DUMMYFUNCTION("""COMPUTED_VALUE"""),"MG-JY: 2.499,-")</f>
        <v>MG-JY: 2.499,-</v>
      </c>
      <c r="E124" s="14">
        <f ca="1">IFERROR(__xludf.DUMMYFUNCTION("""COMPUTED_VALUE"""),1201)</f>
        <v>1201</v>
      </c>
      <c r="F124" s="14" t="str">
        <f ca="1">IFERROR(__xludf.DUMMYFUNCTION("""COMPUTED_VALUE"""),"Thomas Andersen")</f>
        <v>Thomas Andersen</v>
      </c>
      <c r="G124" s="14" t="str">
        <f ca="1">IFERROR(__xludf.DUMMYFUNCTION("""COMPUTED_VALUE"""),"thomas@maeglerhuset.dk")</f>
        <v>thomas@maeglerhuset.dk</v>
      </c>
      <c r="H124" s="14">
        <f ca="1">IFERROR(__xludf.DUMMYFUNCTION("""COMPUTED_VALUE"""),41909000)</f>
        <v>41909000</v>
      </c>
      <c r="I124" s="14" t="str">
        <f ca="1">IFERROR(__xludf.DUMMYFUNCTION("""COMPUTED_VALUE"""),"Østerbrogade 2")</f>
        <v>Østerbrogade 2</v>
      </c>
      <c r="J124" s="14">
        <f ca="1">IFERROR(__xludf.DUMMYFUNCTION("""COMPUTED_VALUE"""),9400)</f>
        <v>9400</v>
      </c>
      <c r="K124" s="14" t="str">
        <f ca="1">IFERROR(__xludf.DUMMYFUNCTION("""COMPUTED_VALUE"""),"Nørresundby")</f>
        <v>Nørresundby</v>
      </c>
      <c r="L124" s="14" t="str">
        <f ca="1">IFERROR(__xludf.DUMMYFUNCTION("""COMPUTED_VALUE"""),"Aalborg")</f>
        <v>Aalborg</v>
      </c>
      <c r="M124" s="14" t="str">
        <f ca="1">IFERROR(__xludf.DUMMYFUNCTION("""COMPUTED_VALUE"""),"Nordjylland")</f>
        <v>Nordjylland</v>
      </c>
      <c r="N124" s="14" t="str">
        <f ca="1">IFERROR(__xludf.DUMMYFUNCTION("""COMPUTED_VALUE"""),"Nordjylland")</f>
        <v>Nordjylland</v>
      </c>
      <c r="O124" s="14">
        <f ca="1">IFERROR(__xludf.DUMMYFUNCTION("""COMPUTED_VALUE"""),50929929)</f>
        <v>50929929</v>
      </c>
      <c r="P124" s="14" t="str">
        <f ca="1">IFERROR(__xludf.DUMMYFUNCTION("""COMPUTED_VALUE"""),"info@maeglerhuset.dk")</f>
        <v>info@maeglerhuset.dk</v>
      </c>
      <c r="Q124" s="15" t="str">
        <f ca="1">IFERROR(__xludf.DUMMYFUNCTION("""COMPUTED_VALUE"""),"https://www.boliga.dk/maegler/19156")</f>
        <v>https://www.boliga.dk/maegler/19156</v>
      </c>
      <c r="R124" s="14" t="str">
        <f ca="1">IFERROR(__xludf.DUMMYFUNCTION("""COMPUTED_VALUE"""),"-")</f>
        <v>-</v>
      </c>
      <c r="S124" s="14" t="str">
        <f ca="1">IFERROR(__xludf.DUMMYFUNCTION("""COMPUTED_VALUE"""),"-")</f>
        <v>-</v>
      </c>
      <c r="T124" s="14" t="str">
        <f ca="1">IFERROR(__xludf.DUMMYFUNCTION("""COMPUTED_VALUE"""),"-")</f>
        <v>-</v>
      </c>
      <c r="U124" s="14">
        <f ca="1">IFERROR(__xludf.DUMMYFUNCTION("""COMPUTED_VALUE"""),107)</f>
        <v>107</v>
      </c>
      <c r="V124" s="14" t="str">
        <f ca="1">IFERROR(__xludf.DUMMYFUNCTION("""COMPUTED_VALUE"""),"9370, 9380, 9310, 9382, 9320, 9400, 9700, 9430, 9362, 9480, 9381")</f>
        <v>9370, 9380, 9310, 9382, 9320, 9400, 9700, 9430, 9362, 9480, 9381</v>
      </c>
      <c r="W124" s="14">
        <f ca="1">IFERROR(__xludf.DUMMYFUNCTION("""COMPUTED_VALUE"""),63)</f>
        <v>63</v>
      </c>
      <c r="X124" s="14" t="str">
        <f ca="1">IFERROR(__xludf.DUMMYFUNCTION("""COMPUTED_VALUE"""),"9370, 9381, 9380, 9310, 9400, 9700, 9430")</f>
        <v>9370, 9381, 9380, 9310, 9400, 9700, 9430</v>
      </c>
      <c r="Y124" s="14" t="str">
        <f ca="1">IFERROR(__xludf.DUMMYFUNCTION("""COMPUTED_VALUE"""),"ja")</f>
        <v>ja</v>
      </c>
      <c r="Z124" s="14"/>
      <c r="AA124" s="14"/>
      <c r="AB124" s="14" t="str">
        <f ca="1">IFERROR(__xludf.DUMMYFUNCTION("""COMPUTED_VALUE"""),"x")</f>
        <v>x</v>
      </c>
      <c r="AC124" s="14" t="str">
        <f ca="1">IFERROR(__xludf.DUMMYFUNCTION("""COMPUTED_VALUE"""),"x")</f>
        <v>x</v>
      </c>
    </row>
    <row r="125" spans="1:29" ht="12.5" x14ac:dyDescent="0.25">
      <c r="A125" s="14" t="str">
        <f ca="1">IFERROR(__xludf.DUMMYFUNCTION("""COMPUTED_VALUE"""),"Camilla")</f>
        <v>Camilla</v>
      </c>
      <c r="B125" s="14" t="str">
        <f ca="1">IFERROR(__xludf.DUMMYFUNCTION("""COMPUTED_VALUE"""),"Mæglerhuset Aabybro")</f>
        <v>Mæglerhuset Aabybro</v>
      </c>
      <c r="C125" s="14">
        <f ca="1">IFERROR(__xludf.DUMMYFUNCTION("""COMPUTED_VALUE"""),35135944)</f>
        <v>35135944</v>
      </c>
      <c r="D125" s="14" t="str">
        <f ca="1">IFERROR(__xludf.DUMMYFUNCTION("""COMPUTED_VALUE"""),"MG-JY: 2.499,-")</f>
        <v>MG-JY: 2.499,-</v>
      </c>
      <c r="E125" s="14">
        <f ca="1">IFERROR(__xludf.DUMMYFUNCTION("""COMPUTED_VALUE"""),1201)</f>
        <v>1201</v>
      </c>
      <c r="F125" s="14" t="str">
        <f ca="1">IFERROR(__xludf.DUMMYFUNCTION("""COMPUTED_VALUE"""),"Thomas Andersen")</f>
        <v>Thomas Andersen</v>
      </c>
      <c r="G125" s="14" t="str">
        <f ca="1">IFERROR(__xludf.DUMMYFUNCTION("""COMPUTED_VALUE"""),"thomas@maeglerhuset.dk")</f>
        <v>thomas@maeglerhuset.dk</v>
      </c>
      <c r="H125" s="14">
        <f ca="1">IFERROR(__xludf.DUMMYFUNCTION("""COMPUTED_VALUE"""),41909000)</f>
        <v>41909000</v>
      </c>
      <c r="I125" s="14" t="str">
        <f ca="1">IFERROR(__xludf.DUMMYFUNCTION("""COMPUTED_VALUE"""),"Aabybro Centret 4C")</f>
        <v>Aabybro Centret 4C</v>
      </c>
      <c r="J125" s="14">
        <f ca="1">IFERROR(__xludf.DUMMYFUNCTION("""COMPUTED_VALUE"""),9440)</f>
        <v>9440</v>
      </c>
      <c r="K125" s="14" t="str">
        <f ca="1">IFERROR(__xludf.DUMMYFUNCTION("""COMPUTED_VALUE"""),"Aabybro")</f>
        <v>Aabybro</v>
      </c>
      <c r="L125" s="14" t="str">
        <f ca="1">IFERROR(__xludf.DUMMYFUNCTION("""COMPUTED_VALUE"""),"Jammerbugt")</f>
        <v>Jammerbugt</v>
      </c>
      <c r="M125" s="14" t="str">
        <f ca="1">IFERROR(__xludf.DUMMYFUNCTION("""COMPUTED_VALUE"""),"Nordjylland")</f>
        <v>Nordjylland</v>
      </c>
      <c r="N125" s="14" t="str">
        <f ca="1">IFERROR(__xludf.DUMMYFUNCTION("""COMPUTED_VALUE"""),"Nordjylland")</f>
        <v>Nordjylland</v>
      </c>
      <c r="O125" s="14">
        <f ca="1">IFERROR(__xludf.DUMMYFUNCTION("""COMPUTED_VALUE"""),50929929)</f>
        <v>50929929</v>
      </c>
      <c r="P125" s="14" t="str">
        <f ca="1">IFERROR(__xludf.DUMMYFUNCTION("""COMPUTED_VALUE"""),"info@maeglerhuset.dk")</f>
        <v>info@maeglerhuset.dk</v>
      </c>
      <c r="Q125" s="15" t="str">
        <f ca="1">IFERROR(__xludf.DUMMYFUNCTION("""COMPUTED_VALUE"""),"https://www.boliga.dk/maegler/25213")</f>
        <v>https://www.boliga.dk/maegler/25213</v>
      </c>
      <c r="R125" s="14" t="str">
        <f ca="1">IFERROR(__xludf.DUMMYFUNCTION("""COMPUTED_VALUE"""),"-")</f>
        <v>-</v>
      </c>
      <c r="S125" s="14" t="str">
        <f ca="1">IFERROR(__xludf.DUMMYFUNCTION("""COMPUTED_VALUE"""),"-")</f>
        <v>-</v>
      </c>
      <c r="T125" s="14" t="str">
        <f ca="1">IFERROR(__xludf.DUMMYFUNCTION("""COMPUTED_VALUE"""),"-")</f>
        <v>-</v>
      </c>
      <c r="U125" s="14">
        <f ca="1">IFERROR(__xludf.DUMMYFUNCTION("""COMPUTED_VALUE"""),52)</f>
        <v>52</v>
      </c>
      <c r="V125" s="14" t="str">
        <f ca="1">IFERROR(__xludf.DUMMYFUNCTION("""COMPUTED_VALUE"""),"9490, 9493, 9430, 9460, 9440, 9492")</f>
        <v>9490, 9493, 9430, 9460, 9440, 9492</v>
      </c>
      <c r="W125" s="14">
        <f ca="1">IFERROR(__xludf.DUMMYFUNCTION("""COMPUTED_VALUE"""),19)</f>
        <v>19</v>
      </c>
      <c r="X125" s="14" t="str">
        <f ca="1">IFERROR(__xludf.DUMMYFUNCTION("""COMPUTED_VALUE"""),"9490, 9430, 9492, 9440, 9493, 9480, 9690")</f>
        <v>9490, 9430, 9492, 9440, 9493, 9480, 9690</v>
      </c>
      <c r="Y125" s="14" t="str">
        <f ca="1">IFERROR(__xludf.DUMMYFUNCTION("""COMPUTED_VALUE"""),"ja")</f>
        <v>ja</v>
      </c>
      <c r="Z125" s="14"/>
      <c r="AA125" s="14"/>
      <c r="AB125" s="14" t="str">
        <f ca="1">IFERROR(__xludf.DUMMYFUNCTION("""COMPUTED_VALUE"""),"x")</f>
        <v>x</v>
      </c>
      <c r="AC125" s="14" t="str">
        <f ca="1">IFERROR(__xludf.DUMMYFUNCTION("""COMPUTED_VALUE"""),"x")</f>
        <v>x</v>
      </c>
    </row>
    <row r="126" spans="1:29" ht="12.5" x14ac:dyDescent="0.25">
      <c r="A126" s="14" t="str">
        <f ca="1">IFERROR(__xludf.DUMMYFUNCTION("""COMPUTED_VALUE"""),"Camilla")</f>
        <v>Camilla</v>
      </c>
      <c r="B126" s="14" t="str">
        <f ca="1">IFERROR(__xludf.DUMMYFUNCTION("""COMPUTED_VALUE"""),"Mæglerhuset Aalborg")</f>
        <v>Mæglerhuset Aalborg</v>
      </c>
      <c r="C126" s="14">
        <f ca="1">IFERROR(__xludf.DUMMYFUNCTION("""COMPUTED_VALUE"""),35135944)</f>
        <v>35135944</v>
      </c>
      <c r="D126" s="14" t="str">
        <f ca="1">IFERROR(__xludf.DUMMYFUNCTION("""COMPUTED_VALUE"""),"MG-JY: 2.499,-")</f>
        <v>MG-JY: 2.499,-</v>
      </c>
      <c r="E126" s="14">
        <f ca="1">IFERROR(__xludf.DUMMYFUNCTION("""COMPUTED_VALUE"""),1201)</f>
        <v>1201</v>
      </c>
      <c r="F126" s="14" t="str">
        <f ca="1">IFERROR(__xludf.DUMMYFUNCTION("""COMPUTED_VALUE"""),"Thomas Andersen")</f>
        <v>Thomas Andersen</v>
      </c>
      <c r="G126" s="14" t="str">
        <f ca="1">IFERROR(__xludf.DUMMYFUNCTION("""COMPUTED_VALUE"""),"thomas@maeglerhuset.dk")</f>
        <v>thomas@maeglerhuset.dk</v>
      </c>
      <c r="H126" s="14">
        <f ca="1">IFERROR(__xludf.DUMMYFUNCTION("""COMPUTED_VALUE"""),41909000)</f>
        <v>41909000</v>
      </c>
      <c r="I126" s="14"/>
      <c r="J126" s="14"/>
      <c r="K126" s="14"/>
      <c r="L126" s="14"/>
      <c r="M126" s="14"/>
      <c r="N126" s="14"/>
      <c r="O126" s="14"/>
      <c r="P126" s="14"/>
      <c r="Q126" s="15" t="str">
        <f ca="1">IFERROR(__xludf.DUMMYFUNCTION("""COMPUTED_VALUE"""),"https://www.boliga.dk/maegler/29042")</f>
        <v>https://www.boliga.dk/maegler/29042</v>
      </c>
      <c r="R126" s="14"/>
      <c r="S126" s="14"/>
      <c r="T126" s="14"/>
      <c r="U126" s="14"/>
      <c r="V126" s="14"/>
      <c r="W126" s="14"/>
      <c r="X126" s="14"/>
      <c r="Y126" s="14" t="str">
        <f ca="1">IFERROR(__xludf.DUMMYFUNCTION("""COMPUTED_VALUE"""),"ja")</f>
        <v>ja</v>
      </c>
      <c r="Z126" s="14"/>
      <c r="AA126" s="14"/>
      <c r="AB126" s="14" t="str">
        <f ca="1">IFERROR(__xludf.DUMMYFUNCTION("""COMPUTED_VALUE"""),"x")</f>
        <v>x</v>
      </c>
      <c r="AC126" s="14" t="str">
        <f ca="1">IFERROR(__xludf.DUMMYFUNCTION("""COMPUTED_VALUE"""),"x")</f>
        <v>x</v>
      </c>
    </row>
    <row r="127" spans="1:29" ht="12.5" x14ac:dyDescent="0.25">
      <c r="A127" s="14" t="str">
        <f ca="1">IFERROR(__xludf.DUMMYFUNCTION("""COMPUTED_VALUE"""),"Camilla")</f>
        <v>Camilla</v>
      </c>
      <c r="B127" s="14" t="str">
        <f ca="1">IFERROR(__xludf.DUMMYFUNCTION("""COMPUTED_VALUE"""),"Mæglerringen")</f>
        <v>Mæglerringen</v>
      </c>
      <c r="C127" s="14">
        <f ca="1">IFERROR(__xludf.DUMMYFUNCTION("""COMPUTED_VALUE"""),26250668)</f>
        <v>26250668</v>
      </c>
      <c r="D127" s="14" t="str">
        <f ca="1">IFERROR(__xludf.DUMMYFUNCTION("""COMPUTED_VALUE"""),"MG-JY: 2.499,-")</f>
        <v>MG-JY: 2.499,-</v>
      </c>
      <c r="E127" s="14">
        <f ca="1">IFERROR(__xludf.DUMMYFUNCTION("""COMPUTED_VALUE"""),1201)</f>
        <v>1201</v>
      </c>
      <c r="F127" s="14" t="str">
        <f ca="1">IFERROR(__xludf.DUMMYFUNCTION("""COMPUTED_VALUE"""),"Tom Pedersen")</f>
        <v>Tom Pedersen</v>
      </c>
      <c r="G127" s="14" t="str">
        <f ca="1">IFERROR(__xludf.DUMMYFUNCTION("""COMPUTED_VALUE"""),"tom@tom-pedersen.dk")</f>
        <v>tom@tom-pedersen.dk</v>
      </c>
      <c r="H127" s="14">
        <f ca="1">IFERROR(__xludf.DUMMYFUNCTION("""COMPUTED_VALUE"""),21824232)</f>
        <v>21824232</v>
      </c>
      <c r="I127" s="14" t="str">
        <f ca="1">IFERROR(__xludf.DUMMYFUNCTION("""COMPUTED_VALUE"""),"Butikstorvet 4")</f>
        <v>Butikstorvet 4</v>
      </c>
      <c r="J127" s="14">
        <f ca="1">IFERROR(__xludf.DUMMYFUNCTION("""COMPUTED_VALUE"""),9560)</f>
        <v>9560</v>
      </c>
      <c r="K127" s="14" t="str">
        <f ca="1">IFERROR(__xludf.DUMMYFUNCTION("""COMPUTED_VALUE"""),"Hadsund")</f>
        <v>Hadsund</v>
      </c>
      <c r="L127" s="14"/>
      <c r="M127" s="14" t="str">
        <f ca="1">IFERROR(__xludf.DUMMYFUNCTION("""COMPUTED_VALUE"""),"Nordjylland")</f>
        <v>Nordjylland</v>
      </c>
      <c r="N127" s="14">
        <f ca="1">IFERROR(__xludf.DUMMYFUNCTION("""COMPUTED_VALUE"""),70256600)</f>
        <v>70256600</v>
      </c>
      <c r="O127" s="14"/>
      <c r="P127" s="14" t="str">
        <f ca="1">IFERROR(__xludf.DUMMYFUNCTION("""COMPUTED_VALUE"""),"hadsund@tom-pedersen.dk")</f>
        <v>hadsund@tom-pedersen.dk</v>
      </c>
      <c r="Q127" s="15" t="str">
        <f ca="1">IFERROR(__xludf.DUMMYFUNCTION("""COMPUTED_VALUE"""),"https://www.boliga.dk/maegler/25219")</f>
        <v>https://www.boliga.dk/maegler/25219</v>
      </c>
      <c r="R127" s="14" t="str">
        <f ca="1">IFERROR(__xludf.DUMMYFUNCTION("""COMPUTED_VALUE"""),"-")</f>
        <v>-</v>
      </c>
      <c r="S127" s="14" t="str">
        <f ca="1">IFERROR(__xludf.DUMMYFUNCTION("""COMPUTED_VALUE"""),"-")</f>
        <v>-</v>
      </c>
      <c r="T127" s="14" t="str">
        <f ca="1">IFERROR(__xludf.DUMMYFUNCTION("""COMPUTED_VALUE"""),"-")</f>
        <v>-</v>
      </c>
      <c r="U127" s="14">
        <f ca="1">IFERROR(__xludf.DUMMYFUNCTION("""COMPUTED_VALUE"""),131)</f>
        <v>131</v>
      </c>
      <c r="V127" s="14" t="str">
        <f ca="1">IFERROR(__xludf.DUMMYFUNCTION("""COMPUTED_VALUE"""),"5240, 4581, 8883, 5300, 5690, 8600, 9293, 9240, 9000, 5000, 9370, 7840, 9260, 9220, 9560, 9500, 9520, 6960, 9620, 9210, 9631, 9510, 7860, 9574, 9800, 8830, 8970, 9280, 9550, 9640")</f>
        <v>5240, 4581, 8883, 5300, 5690, 8600, 9293, 9240, 9000, 5000, 9370, 7840, 9260, 9220, 9560, 9500, 9520, 6960, 9620, 9210, 9631, 9510, 7860, 9574, 9800, 8830, 8970, 9280, 9550, 9640</v>
      </c>
      <c r="W127" s="14" t="str">
        <f ca="1">IFERROR(__xludf.DUMMYFUNCTION("""COMPUTED_VALUE"""),"-")</f>
        <v>-</v>
      </c>
      <c r="X127" s="14" t="str">
        <f ca="1">IFERROR(__xludf.DUMMYFUNCTION("""COMPUTED_VALUE"""),"-")</f>
        <v>-</v>
      </c>
      <c r="Y127" s="14" t="str">
        <f ca="1">IFERROR(__xludf.DUMMYFUNCTION("""COMPUTED_VALUE"""),"ja")</f>
        <v>ja</v>
      </c>
      <c r="Z127" s="14"/>
      <c r="AA127" s="14"/>
      <c r="AB127" s="14" t="str">
        <f ca="1">IFERROR(__xludf.DUMMYFUNCTION("""COMPUTED_VALUE"""),"x")</f>
        <v>x</v>
      </c>
      <c r="AC127" s="14" t="str">
        <f ca="1">IFERROR(__xludf.DUMMYFUNCTION("""COMPUTED_VALUE"""),"x")</f>
        <v>x</v>
      </c>
    </row>
    <row r="128" spans="1:29" ht="12.5" x14ac:dyDescent="0.25">
      <c r="A128" s="14" t="str">
        <f ca="1">IFERROR(__xludf.DUMMYFUNCTION("""COMPUTED_VALUE"""),"Camilla")</f>
        <v>Camilla</v>
      </c>
      <c r="B128" s="14" t="str">
        <f ca="1">IFERROR(__xludf.DUMMYFUNCTION("""COMPUTED_VALUE"""),"Skørping Mægleren v/ Helle Aagaard")</f>
        <v>Skørping Mægleren v/ Helle Aagaard</v>
      </c>
      <c r="C128" s="14">
        <f ca="1">IFERROR(__xludf.DUMMYFUNCTION("""COMPUTED_VALUE"""),42549746)</f>
        <v>42549746</v>
      </c>
      <c r="D128" s="14" t="str">
        <f ca="1">IFERROR(__xludf.DUMMYFUNCTION("""COMPUTED_VALUE"""),"MG-JY: 2.499,-")</f>
        <v>MG-JY: 2.499,-</v>
      </c>
      <c r="E128" s="14">
        <f ca="1">IFERROR(__xludf.DUMMYFUNCTION("""COMPUTED_VALUE"""),1201)</f>
        <v>1201</v>
      </c>
      <c r="F128" s="14" t="str">
        <f ca="1">IFERROR(__xludf.DUMMYFUNCTION("""COMPUTED_VALUE"""),"Rene Højen ")</f>
        <v xml:space="preserve">Rene Højen </v>
      </c>
      <c r="G128" s="14" t="str">
        <f ca="1">IFERROR(__xludf.DUMMYFUNCTION("""COMPUTED_VALUE"""),"rh@skorpingmaegleren.dk")</f>
        <v>rh@skorpingmaegleren.dk</v>
      </c>
      <c r="H128" s="14">
        <f ca="1">IFERROR(__xludf.DUMMYFUNCTION("""COMPUTED_VALUE"""),98391127)</f>
        <v>98391127</v>
      </c>
      <c r="I128" s="14" t="str">
        <f ca="1">IFERROR(__xludf.DUMMYFUNCTION("""COMPUTED_VALUE"""),"Jyllandsgade 8B, st.")</f>
        <v>Jyllandsgade 8B, st.</v>
      </c>
      <c r="J128" s="14">
        <f ca="1">IFERROR(__xludf.DUMMYFUNCTION("""COMPUTED_VALUE"""),9520)</f>
        <v>9520</v>
      </c>
      <c r="K128" s="14" t="str">
        <f ca="1">IFERROR(__xludf.DUMMYFUNCTION("""COMPUTED_VALUE"""),"Skørping")</f>
        <v>Skørping</v>
      </c>
      <c r="L128" s="14" t="str">
        <f ca="1">IFERROR(__xludf.DUMMYFUNCTION("""COMPUTED_VALUE"""),"Rebild")</f>
        <v>Rebild</v>
      </c>
      <c r="M128" s="14" t="str">
        <f ca="1">IFERROR(__xludf.DUMMYFUNCTION("""COMPUTED_VALUE"""),"Nordjylland")</f>
        <v>Nordjylland</v>
      </c>
      <c r="N128" s="14" t="str">
        <f ca="1">IFERROR(__xludf.DUMMYFUNCTION("""COMPUTED_VALUE"""),"Nordjylland")</f>
        <v>Nordjylland</v>
      </c>
      <c r="O128" s="14">
        <f ca="1">IFERROR(__xludf.DUMMYFUNCTION("""COMPUTED_VALUE"""),98391127)</f>
        <v>98391127</v>
      </c>
      <c r="P128" s="14" t="str">
        <f ca="1">IFERROR(__xludf.DUMMYFUNCTION("""COMPUTED_VALUE"""),"haa@skorpingmaegleren.dk")</f>
        <v>haa@skorpingmaegleren.dk</v>
      </c>
      <c r="Q128" s="15" t="str">
        <f ca="1">IFERROR(__xludf.DUMMYFUNCTION("""COMPUTED_VALUE"""),"https://www.boliga.dk/maegler/26")</f>
        <v>https://www.boliga.dk/maegler/26</v>
      </c>
      <c r="R128" s="14" t="str">
        <f ca="1">IFERROR(__xludf.DUMMYFUNCTION("""COMPUTED_VALUE"""),"-")</f>
        <v>-</v>
      </c>
      <c r="S128" s="14" t="str">
        <f ca="1">IFERROR(__xludf.DUMMYFUNCTION("""COMPUTED_VALUE"""),"-")</f>
        <v>-</v>
      </c>
      <c r="T128" s="14" t="str">
        <f ca="1">IFERROR(__xludf.DUMMYFUNCTION("""COMPUTED_VALUE"""),"-")</f>
        <v>-</v>
      </c>
      <c r="U128" s="14">
        <f ca="1">IFERROR(__xludf.DUMMYFUNCTION("""COMPUTED_VALUE"""),19)</f>
        <v>19</v>
      </c>
      <c r="V128" s="14" t="str">
        <f ca="1">IFERROR(__xludf.DUMMYFUNCTION("""COMPUTED_VALUE"""),"9575, 9560, 9510, 9520")</f>
        <v>9575, 9560, 9510, 9520</v>
      </c>
      <c r="W128" s="14">
        <f ca="1">IFERROR(__xludf.DUMMYFUNCTION("""COMPUTED_VALUE"""),3)</f>
        <v>3</v>
      </c>
      <c r="X128" s="14">
        <f ca="1">IFERROR(__xludf.DUMMYFUNCTION("""COMPUTED_VALUE"""),9520)</f>
        <v>9520</v>
      </c>
      <c r="Y128" s="14" t="str">
        <f ca="1">IFERROR(__xludf.DUMMYFUNCTION("""COMPUTED_VALUE"""),"ja")</f>
        <v>ja</v>
      </c>
      <c r="Z128" s="14"/>
      <c r="AA128" s="14"/>
      <c r="AB128" s="14" t="str">
        <f ca="1">IFERROR(__xludf.DUMMYFUNCTION("""COMPUTED_VALUE"""),"x")</f>
        <v>x</v>
      </c>
      <c r="AC128" s="14" t="str">
        <f ca="1">IFERROR(__xludf.DUMMYFUNCTION("""COMPUTED_VALUE"""),"x")</f>
        <v>x</v>
      </c>
    </row>
    <row r="129" spans="1:29" ht="12.5" x14ac:dyDescent="0.25">
      <c r="A129" s="14" t="str">
        <f ca="1">IFERROR(__xludf.DUMMYFUNCTION("""COMPUTED_VALUE"""),"Camilla")</f>
        <v>Camilla</v>
      </c>
      <c r="B129" s="14" t="str">
        <f ca="1">IFERROR(__xludf.DUMMYFUNCTION("""COMPUTED_VALUE"""),"Thorkild Kristensen")</f>
        <v>Thorkild Kristensen</v>
      </c>
      <c r="C129" s="14">
        <f ca="1">IFERROR(__xludf.DUMMYFUNCTION("""COMPUTED_VALUE"""),30696867)</f>
        <v>30696867</v>
      </c>
      <c r="D129" s="14" t="str">
        <f ca="1">IFERROR(__xludf.DUMMYFUNCTION("""COMPUTED_VALUE"""),"MG-JY: 2.499,-")</f>
        <v>MG-JY: 2.499,-</v>
      </c>
      <c r="E129" s="14">
        <f ca="1">IFERROR(__xludf.DUMMYFUNCTION("""COMPUTED_VALUE"""),1201)</f>
        <v>1201</v>
      </c>
      <c r="F129" s="14" t="str">
        <f ca="1">IFERROR(__xludf.DUMMYFUNCTION("""COMPUTED_VALUE"""),"Frank Andersen ")</f>
        <v xml:space="preserve">Frank Andersen </v>
      </c>
      <c r="G129" s="14" t="str">
        <f ca="1">IFERROR(__xludf.DUMMYFUNCTION("""COMPUTED_VALUE"""),"fva@thorkildkristensen.dk")</f>
        <v>fva@thorkildkristensen.dk</v>
      </c>
      <c r="H129" s="14">
        <f ca="1">IFERROR(__xludf.DUMMYFUNCTION("""COMPUTED_VALUE"""),51956000)</f>
        <v>51956000</v>
      </c>
      <c r="I129" s="14" t="str">
        <f ca="1">IFERROR(__xludf.DUMMYFUNCTION("""COMPUTED_VALUE"""),"Hasserisvej 143")</f>
        <v>Hasserisvej 143</v>
      </c>
      <c r="J129" s="14">
        <f ca="1">IFERROR(__xludf.DUMMYFUNCTION("""COMPUTED_VALUE"""),9000)</f>
        <v>9000</v>
      </c>
      <c r="K129" s="14" t="str">
        <f ca="1">IFERROR(__xludf.DUMMYFUNCTION("""COMPUTED_VALUE"""),"Aalborg")</f>
        <v>Aalborg</v>
      </c>
      <c r="L129" s="14" t="str">
        <f ca="1">IFERROR(__xludf.DUMMYFUNCTION("""COMPUTED_VALUE"""),"Aalborg")</f>
        <v>Aalborg</v>
      </c>
      <c r="M129" s="14" t="str">
        <f ca="1">IFERROR(__xludf.DUMMYFUNCTION("""COMPUTED_VALUE"""),"Nordjylland")</f>
        <v>Nordjylland</v>
      </c>
      <c r="N129" s="14" t="str">
        <f ca="1">IFERROR(__xludf.DUMMYFUNCTION("""COMPUTED_VALUE"""),"Nordjylland")</f>
        <v>Nordjylland</v>
      </c>
      <c r="O129" s="14">
        <f ca="1">IFERROR(__xludf.DUMMYFUNCTION("""COMPUTED_VALUE"""),96316000)</f>
        <v>96316000</v>
      </c>
      <c r="P129" s="14" t="str">
        <f ca="1">IFERROR(__xludf.DUMMYFUNCTION("""COMPUTED_VALUE"""),"tk@thorkildkristensen.dk")</f>
        <v>tk@thorkildkristensen.dk</v>
      </c>
      <c r="Q129" s="15" t="str">
        <f ca="1">IFERROR(__xludf.DUMMYFUNCTION("""COMPUTED_VALUE"""),"https://www.boliga.dk/maegler/26991")</f>
        <v>https://www.boliga.dk/maegler/26991</v>
      </c>
      <c r="R129" s="14" t="str">
        <f ca="1">IFERROR(__xludf.DUMMYFUNCTION("""COMPUTED_VALUE"""),"-")</f>
        <v>-</v>
      </c>
      <c r="S129" s="14" t="str">
        <f ca="1">IFERROR(__xludf.DUMMYFUNCTION("""COMPUTED_VALUE"""),"-")</f>
        <v>-</v>
      </c>
      <c r="T129" s="14" t="str">
        <f ca="1">IFERROR(__xludf.DUMMYFUNCTION("""COMPUTED_VALUE"""),"-")</f>
        <v>-</v>
      </c>
      <c r="U129" s="14">
        <f ca="1">IFERROR(__xludf.DUMMYFUNCTION("""COMPUTED_VALUE"""),131)</f>
        <v>131</v>
      </c>
      <c r="V129" s="14" t="str">
        <f ca="1">IFERROR(__xludf.DUMMYFUNCTION("""COMPUTED_VALUE"""),"9000, 9230, 9210, 9260, 9300, 9200, 9382, 9240, 9480, 9352, 9490, 9310, 9520, 9460, 9575, 9293, 9800, 9400, 9493, 9492, 9430, 9440, 9700, 9500, 9990, 9530, 9760, 9600")</f>
        <v>9000, 9230, 9210, 9260, 9300, 9200, 9382, 9240, 9480, 9352, 9490, 9310, 9520, 9460, 9575, 9293, 9800, 9400, 9493, 9492, 9430, 9440, 9700, 9500, 9990, 9530, 9760, 9600</v>
      </c>
      <c r="W129" s="14">
        <f ca="1">IFERROR(__xludf.DUMMYFUNCTION("""COMPUTED_VALUE"""),69)</f>
        <v>69</v>
      </c>
      <c r="X129" s="14" t="str">
        <f ca="1">IFERROR(__xludf.DUMMYFUNCTION("""COMPUTED_VALUE"""),"9000, 9430, 9220, 9230, 9270, 9260, 9300, 9200, 9480, 9560, 9490, 9400, 9520, 9310, 9492, 9493, 9530, 9760")</f>
        <v>9000, 9430, 9220, 9230, 9270, 9260, 9300, 9200, 9480, 9560, 9490, 9400, 9520, 9310, 9492, 9493, 9530, 9760</v>
      </c>
      <c r="Y129" s="14" t="str">
        <f ca="1">IFERROR(__xludf.DUMMYFUNCTION("""COMPUTED_VALUE"""),"ja")</f>
        <v>ja</v>
      </c>
      <c r="Z129" s="14"/>
      <c r="AA129" s="14"/>
      <c r="AB129" s="14" t="str">
        <f ca="1">IFERROR(__xludf.DUMMYFUNCTION("""COMPUTED_VALUE"""),"x")</f>
        <v>x</v>
      </c>
      <c r="AC129" s="14" t="str">
        <f ca="1">IFERROR(__xludf.DUMMYFUNCTION("""COMPUTED_VALUE"""),"x")</f>
        <v>x</v>
      </c>
    </row>
    <row r="130" spans="1:29" ht="12.5" x14ac:dyDescent="0.25">
      <c r="A130" s="14" t="str">
        <f ca="1">IFERROR(__xludf.DUMMYFUNCTION("""COMPUTED_VALUE"""),"Camilla")</f>
        <v>Camilla</v>
      </c>
      <c r="B130" s="14" t="str">
        <f ca="1">IFERROR(__xludf.DUMMYFUNCTION("""COMPUTED_VALUE"""),"Aalborg Mægleren - Hasseris")</f>
        <v>Aalborg Mægleren - Hasseris</v>
      </c>
      <c r="C130" s="14">
        <f ca="1">IFERROR(__xludf.DUMMYFUNCTION("""COMPUTED_VALUE"""),40910182)</f>
        <v>40910182</v>
      </c>
      <c r="D130" s="14" t="str">
        <f ca="1">IFERROR(__xludf.DUMMYFUNCTION("""COMPUTED_VALUE"""),"MG-JY: 2.499,-")</f>
        <v>MG-JY: 2.499,-</v>
      </c>
      <c r="E130" s="14">
        <f ca="1">IFERROR(__xludf.DUMMYFUNCTION("""COMPUTED_VALUE"""),1201)</f>
        <v>1201</v>
      </c>
      <c r="F130" s="14" t="str">
        <f ca="1">IFERROR(__xludf.DUMMYFUNCTION("""COMPUTED_VALUE"""),"Bo Lynge")</f>
        <v>Bo Lynge</v>
      </c>
      <c r="G130" s="14" t="str">
        <f ca="1">IFERROR(__xludf.DUMMYFUNCTION("""COMPUTED_VALUE"""),"bl@ambolig.dk")</f>
        <v>bl@ambolig.dk</v>
      </c>
      <c r="H130" s="14">
        <f ca="1">IFERROR(__xludf.DUMMYFUNCTION("""COMPUTED_VALUE"""),21200808)</f>
        <v>21200808</v>
      </c>
      <c r="I130" s="14" t="str">
        <f ca="1">IFERROR(__xludf.DUMMYFUNCTION("""COMPUTED_VALUE"""),"Kong Christians Alle 43")</f>
        <v>Kong Christians Alle 43</v>
      </c>
      <c r="J130" s="14">
        <f ca="1">IFERROR(__xludf.DUMMYFUNCTION("""COMPUTED_VALUE"""),9000)</f>
        <v>9000</v>
      </c>
      <c r="K130" s="14" t="str">
        <f ca="1">IFERROR(__xludf.DUMMYFUNCTION("""COMPUTED_VALUE"""),"Aalborg")</f>
        <v>Aalborg</v>
      </c>
      <c r="L130" s="14" t="str">
        <f ca="1">IFERROR(__xludf.DUMMYFUNCTION("""COMPUTED_VALUE"""),"Aalborg")</f>
        <v>Aalborg</v>
      </c>
      <c r="M130" s="14" t="str">
        <f ca="1">IFERROR(__xludf.DUMMYFUNCTION("""COMPUTED_VALUE"""),"Nordjylland")</f>
        <v>Nordjylland</v>
      </c>
      <c r="N130" s="14" t="str">
        <f ca="1">IFERROR(__xludf.DUMMYFUNCTION("""COMPUTED_VALUE"""),"Nordjylland")</f>
        <v>Nordjylland</v>
      </c>
      <c r="O130" s="14">
        <f ca="1">IFERROR(__xludf.DUMMYFUNCTION("""COMPUTED_VALUE"""),98188800)</f>
        <v>98188800</v>
      </c>
      <c r="P130" s="14" t="str">
        <f ca="1">IFERROR(__xludf.DUMMYFUNCTION("""COMPUTED_VALUE"""),"hasseris@ambolig.dk")</f>
        <v>hasseris@ambolig.dk</v>
      </c>
      <c r="Q130" s="15" t="str">
        <f ca="1">IFERROR(__xludf.DUMMYFUNCTION("""COMPUTED_VALUE"""),"https://www.boliga.dk/maegler/25252")</f>
        <v>https://www.boliga.dk/maegler/25252</v>
      </c>
      <c r="R130" s="14" t="str">
        <f ca="1">IFERROR(__xludf.DUMMYFUNCTION("""COMPUTED_VALUE"""),"-")</f>
        <v>-</v>
      </c>
      <c r="S130" s="14" t="str">
        <f ca="1">IFERROR(__xludf.DUMMYFUNCTION("""COMPUTED_VALUE"""),"-")</f>
        <v>-</v>
      </c>
      <c r="T130" s="14" t="str">
        <f ca="1">IFERROR(__xludf.DUMMYFUNCTION("""COMPUTED_VALUE"""),"-")</f>
        <v>-</v>
      </c>
      <c r="U130" s="14">
        <f ca="1">IFERROR(__xludf.DUMMYFUNCTION("""COMPUTED_VALUE"""),13)</f>
        <v>13</v>
      </c>
      <c r="V130" s="14" t="str">
        <f ca="1">IFERROR(__xludf.DUMMYFUNCTION("""COMPUTED_VALUE"""),"9210, 9000, 9300, 9362, 9460")</f>
        <v>9210, 9000, 9300, 9362, 9460</v>
      </c>
      <c r="W130" s="14">
        <f ca="1">IFERROR(__xludf.DUMMYFUNCTION("""COMPUTED_VALUE"""),6)</f>
        <v>6</v>
      </c>
      <c r="X130" s="14" t="str">
        <f ca="1">IFERROR(__xludf.DUMMYFUNCTION("""COMPUTED_VALUE"""),"9210, 9200, 9000")</f>
        <v>9210, 9200, 9000</v>
      </c>
      <c r="Y130" s="14" t="str">
        <f ca="1">IFERROR(__xludf.DUMMYFUNCTION("""COMPUTED_VALUE"""),"ja")</f>
        <v>ja</v>
      </c>
      <c r="Z130" s="14"/>
      <c r="AA130" s="14"/>
      <c r="AB130" s="14" t="str">
        <f ca="1">IFERROR(__xludf.DUMMYFUNCTION("""COMPUTED_VALUE"""),"x")</f>
        <v>x</v>
      </c>
      <c r="AC130" s="14" t="str">
        <f ca="1">IFERROR(__xludf.DUMMYFUNCTION("""COMPUTED_VALUE"""),"x")</f>
        <v>x</v>
      </c>
    </row>
    <row r="131" spans="1:29" ht="12.5" x14ac:dyDescent="0.25">
      <c r="A131" s="14" t="str">
        <f ca="1">IFERROR(__xludf.DUMMYFUNCTION("""COMPUTED_VALUE"""),"Camilla")</f>
        <v>Camilla</v>
      </c>
      <c r="B131" s="14" t="str">
        <f ca="1">IFERROR(__xludf.DUMMYFUNCTION("""COMPUTED_VALUE"""),"10NI BOLIG")</f>
        <v>10NI BOLIG</v>
      </c>
      <c r="C131" s="14">
        <f ca="1">IFERROR(__xludf.DUMMYFUNCTION("""COMPUTED_VALUE"""),31600987)</f>
        <v>31600987</v>
      </c>
      <c r="D131" s="14" t="str">
        <f ca="1">IFERROR(__xludf.DUMMYFUNCTION("""COMPUTED_VALUE"""),"MG-SJ: 3.499,-")</f>
        <v>MG-SJ: 3.499,-</v>
      </c>
      <c r="E131" s="14">
        <f ca="1">IFERROR(__xludf.DUMMYFUNCTION("""COMPUTED_VALUE"""),1202)</f>
        <v>1202</v>
      </c>
      <c r="F131" s="14" t="str">
        <f ca="1">IFERROR(__xludf.DUMMYFUNCTION("""COMPUTED_VALUE"""),"Tine Nielsen")</f>
        <v>Tine Nielsen</v>
      </c>
      <c r="G131" s="14" t="str">
        <f ca="1">IFERROR(__xludf.DUMMYFUNCTION("""COMPUTED_VALUE"""),"mail@10nibolig.dk")</f>
        <v>mail@10nibolig.dk</v>
      </c>
      <c r="H131" s="14">
        <f ca="1">IFERROR(__xludf.DUMMYFUNCTION("""COMPUTED_VALUE"""),22165949)</f>
        <v>22165949</v>
      </c>
      <c r="I131" s="14" t="str">
        <f ca="1">IFERROR(__xludf.DUMMYFUNCTION("""COMPUTED_VALUE"""),"Købmagergade 17")</f>
        <v>Købmagergade 17</v>
      </c>
      <c r="J131" s="14">
        <f ca="1">IFERROR(__xludf.DUMMYFUNCTION("""COMPUTED_VALUE"""),4700)</f>
        <v>4700</v>
      </c>
      <c r="K131" s="14" t="str">
        <f ca="1">IFERROR(__xludf.DUMMYFUNCTION("""COMPUTED_VALUE"""),"Næstved")</f>
        <v>Næstved</v>
      </c>
      <c r="L131" s="14" t="str">
        <f ca="1">IFERROR(__xludf.DUMMYFUNCTION("""COMPUTED_VALUE"""),"Næstved")</f>
        <v>Næstved</v>
      </c>
      <c r="M131" s="14" t="str">
        <f ca="1">IFERROR(__xludf.DUMMYFUNCTION("""COMPUTED_VALUE"""),"Vest- og Sydsjælland")</f>
        <v>Vest- og Sydsjælland</v>
      </c>
      <c r="N131" s="14" t="str">
        <f ca="1">IFERROR(__xludf.DUMMYFUNCTION("""COMPUTED_VALUE"""),"Sjælland")</f>
        <v>Sjælland</v>
      </c>
      <c r="O131" s="14">
        <f ca="1">IFERROR(__xludf.DUMMYFUNCTION("""COMPUTED_VALUE"""),22165949)</f>
        <v>22165949</v>
      </c>
      <c r="P131" s="14" t="str">
        <f ca="1">IFERROR(__xludf.DUMMYFUNCTION("""COMPUTED_VALUE"""),"mail@10nibolig.dk")</f>
        <v>mail@10nibolig.dk</v>
      </c>
      <c r="Q131" s="15" t="str">
        <f ca="1">IFERROR(__xludf.DUMMYFUNCTION("""COMPUTED_VALUE"""),"https://www.boliga.dk/maegler/26537")</f>
        <v>https://www.boliga.dk/maegler/26537</v>
      </c>
      <c r="R131" s="14" t="str">
        <f ca="1">IFERROR(__xludf.DUMMYFUNCTION("""COMPUTED_VALUE"""),"-")</f>
        <v>-</v>
      </c>
      <c r="S131" s="14" t="str">
        <f ca="1">IFERROR(__xludf.DUMMYFUNCTION("""COMPUTED_VALUE"""),"-")</f>
        <v>-</v>
      </c>
      <c r="T131" s="14" t="str">
        <f ca="1">IFERROR(__xludf.DUMMYFUNCTION("""COMPUTED_VALUE"""),"-")</f>
        <v>-</v>
      </c>
      <c r="U131" s="14">
        <f ca="1">IFERROR(__xludf.DUMMYFUNCTION("""COMPUTED_VALUE"""),4)</f>
        <v>4</v>
      </c>
      <c r="V131" s="14" t="str">
        <f ca="1">IFERROR(__xludf.DUMMYFUNCTION("""COMPUTED_VALUE"""),"4200, 4700, 4684")</f>
        <v>4200, 4700, 4684</v>
      </c>
      <c r="W131" s="14">
        <f ca="1">IFERROR(__xludf.DUMMYFUNCTION("""COMPUTED_VALUE"""),4)</f>
        <v>4</v>
      </c>
      <c r="X131" s="14" t="str">
        <f ca="1">IFERROR(__xludf.DUMMYFUNCTION("""COMPUTED_VALUE"""),"4654, 4700, 4684")</f>
        <v>4654, 4700, 4684</v>
      </c>
      <c r="Y131" s="14" t="str">
        <f ca="1">IFERROR(__xludf.DUMMYFUNCTION("""COMPUTED_VALUE"""),"ja")</f>
        <v>ja</v>
      </c>
      <c r="Z131" s="14"/>
      <c r="AA131" s="14"/>
      <c r="AB131" s="14" t="str">
        <f ca="1">IFERROR(__xludf.DUMMYFUNCTION("""COMPUTED_VALUE"""),"x")</f>
        <v>x</v>
      </c>
      <c r="AC131" s="14" t="str">
        <f ca="1">IFERROR(__xludf.DUMMYFUNCTION("""COMPUTED_VALUE"""),"x")</f>
        <v>x</v>
      </c>
    </row>
    <row r="132" spans="1:29" ht="12.5" x14ac:dyDescent="0.25">
      <c r="A132" s="14" t="str">
        <f ca="1">IFERROR(__xludf.DUMMYFUNCTION("""COMPUTED_VALUE"""),"Camilla")</f>
        <v>Camilla</v>
      </c>
      <c r="B132" s="14" t="str">
        <f ca="1">IFERROR(__xludf.DUMMYFUNCTION("""COMPUTED_VALUE"""),"Boligkompagniet")</f>
        <v>Boligkompagniet</v>
      </c>
      <c r="C132" s="14">
        <f ca="1">IFERROR(__xludf.DUMMYFUNCTION("""COMPUTED_VALUE"""),32883605)</f>
        <v>32883605</v>
      </c>
      <c r="D132" s="14" t="str">
        <f ca="1">IFERROR(__xludf.DUMMYFUNCTION("""COMPUTED_VALUE"""),"MG-SJ: 3.499,-")</f>
        <v>MG-SJ: 3.499,-</v>
      </c>
      <c r="E132" s="14">
        <f ca="1">IFERROR(__xludf.DUMMYFUNCTION("""COMPUTED_VALUE"""),1202)</f>
        <v>1202</v>
      </c>
      <c r="F132" s="14" t="str">
        <f ca="1">IFERROR(__xludf.DUMMYFUNCTION("""COMPUTED_VALUE"""),"Jonas Lehmann")</f>
        <v>Jonas Lehmann</v>
      </c>
      <c r="G132" s="15" t="str">
        <f ca="1">IFERROR(__xludf.DUMMYFUNCTION("""COMPUTED_VALUE"""),"jonas@boligkompagniet.dk")</f>
        <v>jonas@boligkompagniet.dk</v>
      </c>
      <c r="H132" s="14">
        <f ca="1">IFERROR(__xludf.DUMMYFUNCTION("""COMPUTED_VALUE"""),29210082)</f>
        <v>29210082</v>
      </c>
      <c r="I132" s="14" t="str">
        <f ca="1">IFERROR(__xludf.DUMMYFUNCTION("""COMPUTED_VALUE"""),"Djalma Lunds Gård 3,1.")</f>
        <v>Djalma Lunds Gård 3,1.</v>
      </c>
      <c r="J132" s="14">
        <f ca="1">IFERROR(__xludf.DUMMYFUNCTION("""COMPUTED_VALUE"""),4000)</f>
        <v>4000</v>
      </c>
      <c r="K132" s="14" t="str">
        <f ca="1">IFERROR(__xludf.DUMMYFUNCTION("""COMPUTED_VALUE"""),"Roskilde")</f>
        <v>Roskilde</v>
      </c>
      <c r="L132" s="14" t="str">
        <f ca="1">IFERROR(__xludf.DUMMYFUNCTION("""COMPUTED_VALUE"""),"Roskilde")</f>
        <v>Roskilde</v>
      </c>
      <c r="M132" s="14" t="str">
        <f ca="1">IFERROR(__xludf.DUMMYFUNCTION("""COMPUTED_VALUE"""),"Østsjælland")</f>
        <v>Østsjælland</v>
      </c>
      <c r="N132" s="14" t="str">
        <f ca="1">IFERROR(__xludf.DUMMYFUNCTION("""COMPUTED_VALUE"""),"Sjælland")</f>
        <v>Sjælland</v>
      </c>
      <c r="O132" s="14">
        <f ca="1">IFERROR(__xludf.DUMMYFUNCTION("""COMPUTED_VALUE"""),50405050)</f>
        <v>50405050</v>
      </c>
      <c r="P132" s="14" t="str">
        <f ca="1">IFERROR(__xludf.DUMMYFUNCTION("""COMPUTED_VALUE"""),"info@boligkompagniet.dk")</f>
        <v>info@boligkompagniet.dk</v>
      </c>
      <c r="Q132" s="15" t="str">
        <f ca="1">IFERROR(__xludf.DUMMYFUNCTION("""COMPUTED_VALUE"""),"https://www.boliga.dk/maegler/17267")</f>
        <v>https://www.boliga.dk/maegler/17267</v>
      </c>
      <c r="R132" s="14" t="str">
        <f ca="1">IFERROR(__xludf.DUMMYFUNCTION("""COMPUTED_VALUE"""),"-")</f>
        <v>-</v>
      </c>
      <c r="S132" s="14" t="str">
        <f ca="1">IFERROR(__xludf.DUMMYFUNCTION("""COMPUTED_VALUE"""),"-")</f>
        <v>-</v>
      </c>
      <c r="T132" s="14" t="str">
        <f ca="1">IFERROR(__xludf.DUMMYFUNCTION("""COMPUTED_VALUE"""),"-")</f>
        <v>-</v>
      </c>
      <c r="U132" s="14">
        <f ca="1">IFERROR(__xludf.DUMMYFUNCTION("""COMPUTED_VALUE"""),45)</f>
        <v>45</v>
      </c>
      <c r="V132" s="14" t="str">
        <f ca="1">IFERROR(__xludf.DUMMYFUNCTION("""COMPUTED_VALUE"""),"2640, 4330, 4000, 4300, 4060, 4050, 4100, 4130, 4070, 4340, 4632, 4350, 4600, 4622, 4621, 4623")</f>
        <v>2640, 4330, 4000, 4300, 4060, 4050, 4100, 4130, 4070, 4340, 4632, 4350, 4600, 4622, 4621, 4623</v>
      </c>
      <c r="W132" s="14">
        <f ca="1">IFERROR(__xludf.DUMMYFUNCTION("""COMPUTED_VALUE"""),56)</f>
        <v>56</v>
      </c>
      <c r="X132" s="14" t="str">
        <f ca="1">IFERROR(__xludf.DUMMYFUNCTION("""COMPUTED_VALUE"""),"2000, 2630, 4300, 3310, 4621, 4000, 4130, 4070, 4050, 4040, 4653, 4100, 4320")</f>
        <v>2000, 2630, 4300, 3310, 4621, 4000, 4130, 4070, 4050, 4040, 4653, 4100, 4320</v>
      </c>
      <c r="Y132" s="14" t="str">
        <f ca="1">IFERROR(__xludf.DUMMYFUNCTION("""COMPUTED_VALUE"""),"ja")</f>
        <v>ja</v>
      </c>
      <c r="Z132" s="14"/>
      <c r="AA132" s="14"/>
      <c r="AB132" s="14" t="str">
        <f ca="1">IFERROR(__xludf.DUMMYFUNCTION("""COMPUTED_VALUE"""),"x")</f>
        <v>x</v>
      </c>
      <c r="AC132" s="14" t="str">
        <f ca="1">IFERROR(__xludf.DUMMYFUNCTION("""COMPUTED_VALUE"""),"x")</f>
        <v>x</v>
      </c>
    </row>
    <row r="133" spans="1:29" ht="12.5" x14ac:dyDescent="0.25">
      <c r="A133" s="14" t="str">
        <f ca="1">IFERROR(__xludf.DUMMYFUNCTION("""COMPUTED_VALUE"""),"Camilla")</f>
        <v>Camilla</v>
      </c>
      <c r="B133" s="14" t="str">
        <f ca="1">IFERROR(__xludf.DUMMYFUNCTION("""COMPUTED_VALUE"""),"BoligOne Markvardsen")</f>
        <v>BoligOne Markvardsen</v>
      </c>
      <c r="C133" s="14">
        <f ca="1">IFERROR(__xludf.DUMMYFUNCTION("""COMPUTED_VALUE"""),40522298)</f>
        <v>40522298</v>
      </c>
      <c r="D133" s="14" t="str">
        <f ca="1">IFERROR(__xludf.DUMMYFUNCTION("""COMPUTED_VALUE"""),"MG-SJ: 3.499,-")</f>
        <v>MG-SJ: 3.499,-</v>
      </c>
      <c r="E133" s="14">
        <f ca="1">IFERROR(__xludf.DUMMYFUNCTION("""COMPUTED_VALUE"""),1202)</f>
        <v>1202</v>
      </c>
      <c r="F133" s="14" t="str">
        <f ca="1">IFERROR(__xludf.DUMMYFUNCTION("""COMPUTED_VALUE"""),"Preben Markvardsen")</f>
        <v>Preben Markvardsen</v>
      </c>
      <c r="G133" s="14" t="str">
        <f ca="1">IFERROR(__xludf.DUMMYFUNCTION("""COMPUTED_VALUE"""),"prm@boligone.dk")</f>
        <v>prm@boligone.dk</v>
      </c>
      <c r="H133" s="14">
        <f ca="1">IFERROR(__xludf.DUMMYFUNCTION("""COMPUTED_VALUE"""),52111906)</f>
        <v>52111906</v>
      </c>
      <c r="I133" s="14" t="str">
        <f ca="1">IFERROR(__xludf.DUMMYFUNCTION("""COMPUTED_VALUE"""),"Holbækvej 19")</f>
        <v>Holbækvej 19</v>
      </c>
      <c r="J133" s="14">
        <f ca="1">IFERROR(__xludf.DUMMYFUNCTION("""COMPUTED_VALUE"""),4000)</f>
        <v>4000</v>
      </c>
      <c r="K133" s="14" t="str">
        <f ca="1">IFERROR(__xludf.DUMMYFUNCTION("""COMPUTED_VALUE"""),"Roskilde")</f>
        <v>Roskilde</v>
      </c>
      <c r="L133" s="14" t="str">
        <f ca="1">IFERROR(__xludf.DUMMYFUNCTION("""COMPUTED_VALUE"""),"Roskilde")</f>
        <v>Roskilde</v>
      </c>
      <c r="M133" s="14" t="str">
        <f ca="1">IFERROR(__xludf.DUMMYFUNCTION("""COMPUTED_VALUE"""),"Østsjælland")</f>
        <v>Østsjælland</v>
      </c>
      <c r="N133" s="14" t="str">
        <f ca="1">IFERROR(__xludf.DUMMYFUNCTION("""COMPUTED_VALUE"""),"Sjælland")</f>
        <v>Sjælland</v>
      </c>
      <c r="O133" s="14">
        <f ca="1">IFERROR(__xludf.DUMMYFUNCTION("""COMPUTED_VALUE"""),52111906)</f>
        <v>52111906</v>
      </c>
      <c r="P133" s="14" t="str">
        <f ca="1">IFERROR(__xludf.DUMMYFUNCTION("""COMPUTED_VALUE"""),"roskilde@boligone.dk")</f>
        <v>roskilde@boligone.dk</v>
      </c>
      <c r="Q133" s="15" t="str">
        <f ca="1">IFERROR(__xludf.DUMMYFUNCTION("""COMPUTED_VALUE"""),"https://www.boliga.dk/maegler/28365")</f>
        <v>https://www.boliga.dk/maegler/28365</v>
      </c>
      <c r="R133" s="14" t="str">
        <f ca="1">IFERROR(__xludf.DUMMYFUNCTION("""COMPUTED_VALUE"""),"-")</f>
        <v>-</v>
      </c>
      <c r="S133" s="14" t="str">
        <f ca="1">IFERROR(__xludf.DUMMYFUNCTION("""COMPUTED_VALUE"""),"-")</f>
        <v>-</v>
      </c>
      <c r="T133" s="14" t="str">
        <f ca="1">IFERROR(__xludf.DUMMYFUNCTION("""COMPUTED_VALUE"""),"-")</f>
        <v>-</v>
      </c>
      <c r="U133" s="14">
        <f ca="1">IFERROR(__xludf.DUMMYFUNCTION("""COMPUTED_VALUE"""),4)</f>
        <v>4</v>
      </c>
      <c r="V133" s="14" t="str">
        <f ca="1">IFERROR(__xludf.DUMMYFUNCTION("""COMPUTED_VALUE"""),"4000, 4330, 4130, 4340")</f>
        <v>4000, 4330, 4130, 4340</v>
      </c>
      <c r="W133" s="14">
        <f ca="1">IFERROR(__xludf.DUMMYFUNCTION("""COMPUTED_VALUE"""),4)</f>
        <v>4</v>
      </c>
      <c r="X133" s="14" t="str">
        <f ca="1">IFERROR(__xludf.DUMMYFUNCTION("""COMPUTED_VALUE"""),"4040, 4320, 4300")</f>
        <v>4040, 4320, 4300</v>
      </c>
      <c r="Y133" s="14" t="str">
        <f ca="1">IFERROR(__xludf.DUMMYFUNCTION("""COMPUTED_VALUE"""),"ja")</f>
        <v>ja</v>
      </c>
      <c r="Z133" s="14"/>
      <c r="AA133" s="14"/>
      <c r="AB133" s="14" t="str">
        <f ca="1">IFERROR(__xludf.DUMMYFUNCTION("""COMPUTED_VALUE"""),"x")</f>
        <v>x</v>
      </c>
      <c r="AC133" s="14" t="str">
        <f ca="1">IFERROR(__xludf.DUMMYFUNCTION("""COMPUTED_VALUE"""),"x")</f>
        <v>x</v>
      </c>
    </row>
    <row r="134" spans="1:29" ht="12.5" x14ac:dyDescent="0.25">
      <c r="A134" s="14" t="str">
        <f ca="1">IFERROR(__xludf.DUMMYFUNCTION("""COMPUTED_VALUE"""),"Camilla")</f>
        <v>Camilla</v>
      </c>
      <c r="B134" s="14" t="str">
        <f ca="1">IFERROR(__xludf.DUMMYFUNCTION("""COMPUTED_VALUE"""),"BoligOne Køge")</f>
        <v>BoligOne Køge</v>
      </c>
      <c r="C134" s="14">
        <f ca="1">IFERROR(__xludf.DUMMYFUNCTION("""COMPUTED_VALUE"""),43066765)</f>
        <v>43066765</v>
      </c>
      <c r="D134" s="14" t="str">
        <f ca="1">IFERROR(__xludf.DUMMYFUNCTION("""COMPUTED_VALUE"""),"MG-SJ: 3.499,-")</f>
        <v>MG-SJ: 3.499,-</v>
      </c>
      <c r="E134" s="14">
        <f ca="1">IFERROR(__xludf.DUMMYFUNCTION("""COMPUTED_VALUE"""),1202)</f>
        <v>1202</v>
      </c>
      <c r="F134" s="14" t="str">
        <f ca="1">IFERROR(__xludf.DUMMYFUNCTION("""COMPUTED_VALUE"""),"Magnus Kristensen")</f>
        <v>Magnus Kristensen</v>
      </c>
      <c r="G134" s="15" t="str">
        <f ca="1">IFERROR(__xludf.DUMMYFUNCTION("""COMPUTED_VALUE"""),"magnus@boligone.dk")</f>
        <v>magnus@boligone.dk</v>
      </c>
      <c r="H134" s="14">
        <f ca="1">IFERROR(__xludf.DUMMYFUNCTION("""COMPUTED_VALUE"""),60554182)</f>
        <v>60554182</v>
      </c>
      <c r="I134" s="14" t="str">
        <f ca="1">IFERROR(__xludf.DUMMYFUNCTION("""COMPUTED_VALUE"""),"Søndre Badevej 2G, 1. 8")</f>
        <v>Søndre Badevej 2G, 1. 8</v>
      </c>
      <c r="J134" s="14">
        <f ca="1">IFERROR(__xludf.DUMMYFUNCTION("""COMPUTED_VALUE"""),4600)</f>
        <v>4600</v>
      </c>
      <c r="K134" s="14" t="str">
        <f ca="1">IFERROR(__xludf.DUMMYFUNCTION("""COMPUTED_VALUE"""),"Køge")</f>
        <v>Køge</v>
      </c>
      <c r="L134" s="14"/>
      <c r="M134" s="14"/>
      <c r="N134" s="14"/>
      <c r="O134" s="14">
        <f ca="1">IFERROR(__xludf.DUMMYFUNCTION("""COMPUTED_VALUE"""),60554182)</f>
        <v>60554182</v>
      </c>
      <c r="P134" s="14" t="str">
        <f ca="1">IFERROR(__xludf.DUMMYFUNCTION("""COMPUTED_VALUE"""),"magnus@boligone.dk")</f>
        <v>magnus@boligone.dk</v>
      </c>
      <c r="Q134" s="15" t="str">
        <f ca="1">IFERROR(__xludf.DUMMYFUNCTION("""COMPUTED_VALUE"""),"https://www.boliga.dk/maegler/29125")</f>
        <v>https://www.boliga.dk/maegler/29125</v>
      </c>
      <c r="R134" s="14"/>
      <c r="S134" s="14"/>
      <c r="T134" s="14"/>
      <c r="U134" s="14"/>
      <c r="V134" s="14"/>
      <c r="W134" s="14"/>
      <c r="X134" s="14"/>
      <c r="Y134" s="14" t="str">
        <f ca="1">IFERROR(__xludf.DUMMYFUNCTION("""COMPUTED_VALUE"""),"ja")</f>
        <v>ja</v>
      </c>
      <c r="Z134" s="14"/>
      <c r="AA134" s="14"/>
      <c r="AB134" s="14" t="str">
        <f ca="1">IFERROR(__xludf.DUMMYFUNCTION("""COMPUTED_VALUE"""),"x")</f>
        <v>x</v>
      </c>
      <c r="AC134" s="14" t="str">
        <f ca="1">IFERROR(__xludf.DUMMYFUNCTION("""COMPUTED_VALUE"""),"x")</f>
        <v>x</v>
      </c>
    </row>
    <row r="135" spans="1:29" ht="12.5" x14ac:dyDescent="0.25">
      <c r="A135" s="14" t="str">
        <f ca="1">IFERROR(__xludf.DUMMYFUNCTION("""COMPUTED_VALUE"""),"Camilla")</f>
        <v>Camilla</v>
      </c>
      <c r="B135" s="14" t="str">
        <f ca="1">IFERROR(__xludf.DUMMYFUNCTION("""COMPUTED_VALUE"""),"Casa Bolig")</f>
        <v>Casa Bolig</v>
      </c>
      <c r="C135" s="14">
        <f ca="1">IFERROR(__xludf.DUMMYFUNCTION("""COMPUTED_VALUE"""),27853943)</f>
        <v>27853943</v>
      </c>
      <c r="D135" s="14" t="str">
        <f ca="1">IFERROR(__xludf.DUMMYFUNCTION("""COMPUTED_VALUE"""),"MG-SJ: 3.499,-")</f>
        <v>MG-SJ: 3.499,-</v>
      </c>
      <c r="E135" s="14">
        <f ca="1">IFERROR(__xludf.DUMMYFUNCTION("""COMPUTED_VALUE"""),1202)</f>
        <v>1202</v>
      </c>
      <c r="F135" s="14" t="str">
        <f ca="1">IFERROR(__xludf.DUMMYFUNCTION("""COMPUTED_VALUE"""),"Susanne Rasmussen")</f>
        <v>Susanne Rasmussen</v>
      </c>
      <c r="G135" s="14" t="str">
        <f ca="1">IFERROR(__xludf.DUMMYFUNCTION("""COMPUTED_VALUE"""),"susanne@casab.dk")</f>
        <v>susanne@casab.dk</v>
      </c>
      <c r="H135" s="14">
        <f ca="1">IFERROR(__xludf.DUMMYFUNCTION("""COMPUTED_VALUE"""),40348546)</f>
        <v>40348546</v>
      </c>
      <c r="I135" s="14" t="str">
        <f ca="1">IFERROR(__xludf.DUMMYFUNCTION("""COMPUTED_VALUE"""),"Kalundborgvej 102")</f>
        <v>Kalundborgvej 102</v>
      </c>
      <c r="J135" s="14">
        <f ca="1">IFERROR(__xludf.DUMMYFUNCTION("""COMPUTED_VALUE"""),4300)</f>
        <v>4300</v>
      </c>
      <c r="K135" s="14" t="str">
        <f ca="1">IFERROR(__xludf.DUMMYFUNCTION("""COMPUTED_VALUE"""),"Holbæk")</f>
        <v>Holbæk</v>
      </c>
      <c r="L135" s="14" t="str">
        <f ca="1">IFERROR(__xludf.DUMMYFUNCTION("""COMPUTED_VALUE"""),"Holbæk")</f>
        <v>Holbæk</v>
      </c>
      <c r="M135" s="14" t="str">
        <f ca="1">IFERROR(__xludf.DUMMYFUNCTION("""COMPUTED_VALUE"""),"Vest- og Sydsjælland")</f>
        <v>Vest- og Sydsjælland</v>
      </c>
      <c r="N135" s="14" t="str">
        <f ca="1">IFERROR(__xludf.DUMMYFUNCTION("""COMPUTED_VALUE"""),"Sjælland")</f>
        <v>Sjælland</v>
      </c>
      <c r="O135" s="14">
        <f ca="1">IFERROR(__xludf.DUMMYFUNCTION("""COMPUTED_VALUE"""),53184300)</f>
        <v>53184300</v>
      </c>
      <c r="P135" s="14" t="str">
        <f ca="1">IFERROR(__xludf.DUMMYFUNCTION("""COMPUTED_VALUE"""),"kontakt@casab.dk")</f>
        <v>kontakt@casab.dk</v>
      </c>
      <c r="Q135" s="15" t="str">
        <f ca="1">IFERROR(__xludf.DUMMYFUNCTION("""COMPUTED_VALUE"""),"https://www.boliga.dk/maegler/25519")</f>
        <v>https://www.boliga.dk/maegler/25519</v>
      </c>
      <c r="R135" s="14" t="str">
        <f ca="1">IFERROR(__xludf.DUMMYFUNCTION("""COMPUTED_VALUE"""),"-")</f>
        <v>-</v>
      </c>
      <c r="S135" s="14" t="str">
        <f ca="1">IFERROR(__xludf.DUMMYFUNCTION("""COMPUTED_VALUE"""),"-")</f>
        <v>-</v>
      </c>
      <c r="T135" s="14" t="str">
        <f ca="1">IFERROR(__xludf.DUMMYFUNCTION("""COMPUTED_VALUE"""),"-")</f>
        <v>-</v>
      </c>
      <c r="U135" s="14">
        <f ca="1">IFERROR(__xludf.DUMMYFUNCTION("""COMPUTED_VALUE"""),21)</f>
        <v>21</v>
      </c>
      <c r="V135" s="14" t="str">
        <f ca="1">IFERROR(__xludf.DUMMYFUNCTION("""COMPUTED_VALUE"""),"4300, 4450, 4520, 4200, 4390, 7200, 4400, 4540, 4420, 4470, 4500")</f>
        <v>4300, 4450, 4520, 4200, 4390, 7200, 4400, 4540, 4420, 4470, 4500</v>
      </c>
      <c r="W135" s="14">
        <f ca="1">IFERROR(__xludf.DUMMYFUNCTION("""COMPUTED_VALUE"""),17)</f>
        <v>17</v>
      </c>
      <c r="X135" s="14" t="str">
        <f ca="1">IFERROR(__xludf.DUMMYFUNCTION("""COMPUTED_VALUE"""),"4300, 4440, 4571, 4540, 4305, 4200, 4400, 4420, 4500, 4534")</f>
        <v>4300, 4440, 4571, 4540, 4305, 4200, 4400, 4420, 4500, 4534</v>
      </c>
      <c r="Y135" s="14" t="str">
        <f ca="1">IFERROR(__xludf.DUMMYFUNCTION("""COMPUTED_VALUE"""),"ja")</f>
        <v>ja</v>
      </c>
      <c r="Z135" s="14"/>
      <c r="AA135" s="14"/>
      <c r="AB135" s="14" t="str">
        <f ca="1">IFERROR(__xludf.DUMMYFUNCTION("""COMPUTED_VALUE"""),"x")</f>
        <v>x</v>
      </c>
      <c r="AC135" s="14" t="str">
        <f ca="1">IFERROR(__xludf.DUMMYFUNCTION("""COMPUTED_VALUE"""),"x")</f>
        <v>x</v>
      </c>
    </row>
    <row r="136" spans="1:29" ht="12.5" x14ac:dyDescent="0.25">
      <c r="A136" s="14" t="str">
        <f ca="1">IFERROR(__xludf.DUMMYFUNCTION("""COMPUTED_VALUE"""),"Camilla")</f>
        <v>Camilla</v>
      </c>
      <c r="B136" s="14" t="str">
        <f ca="1">IFERROR(__xludf.DUMMYFUNCTION("""COMPUTED_VALUE"""),"DanskeBolig")</f>
        <v>DanskeBolig</v>
      </c>
      <c r="C136" s="14">
        <f ca="1">IFERROR(__xludf.DUMMYFUNCTION("""COMPUTED_VALUE"""),41598522)</f>
        <v>41598522</v>
      </c>
      <c r="D136" s="14" t="str">
        <f ca="1">IFERROR(__xludf.DUMMYFUNCTION("""COMPUTED_VALUE"""),"MG-SJ: 3.499,-")</f>
        <v>MG-SJ: 3.499,-</v>
      </c>
      <c r="E136" s="14">
        <f ca="1">IFERROR(__xludf.DUMMYFUNCTION("""COMPUTED_VALUE"""),1202)</f>
        <v>1202</v>
      </c>
      <c r="F136" s="14" t="str">
        <f ca="1">IFERROR(__xludf.DUMMYFUNCTION("""COMPUTED_VALUE"""),"Jonas Søndergaard")</f>
        <v>Jonas Søndergaard</v>
      </c>
      <c r="G136" s="15" t="str">
        <f ca="1">IFERROR(__xludf.DUMMYFUNCTION("""COMPUTED_VALUE"""),"nanna@danskebolig.dk")</f>
        <v>nanna@danskebolig.dk</v>
      </c>
      <c r="H136" s="14">
        <f ca="1">IFERROR(__xludf.DUMMYFUNCTION("""COMPUTED_VALUE"""),29920954)</f>
        <v>29920954</v>
      </c>
      <c r="I136" s="14" t="str">
        <f ca="1">IFERROR(__xludf.DUMMYFUNCTION("""COMPUTED_VALUE"""),"Hovedgaden 58")</f>
        <v>Hovedgaden 58</v>
      </c>
      <c r="J136" s="14">
        <f ca="1">IFERROR(__xludf.DUMMYFUNCTION("""COMPUTED_VALUE"""),4652)</f>
        <v>4652</v>
      </c>
      <c r="K136" s="14" t="str">
        <f ca="1">IFERROR(__xludf.DUMMYFUNCTION("""COMPUTED_VALUE"""),"Hårlev")</f>
        <v>Hårlev</v>
      </c>
      <c r="L136" s="14" t="str">
        <f ca="1">IFERROR(__xludf.DUMMYFUNCTION("""COMPUTED_VALUE"""),"Stevns")</f>
        <v>Stevns</v>
      </c>
      <c r="M136" s="14" t="str">
        <f ca="1">IFERROR(__xludf.DUMMYFUNCTION("""COMPUTED_VALUE"""),"Vest- og Sydsjælland")</f>
        <v>Vest- og Sydsjælland</v>
      </c>
      <c r="N136" s="14" t="str">
        <f ca="1">IFERROR(__xludf.DUMMYFUNCTION("""COMPUTED_VALUE"""),"Sjælland")</f>
        <v>Sjælland</v>
      </c>
      <c r="O136" s="14">
        <f ca="1">IFERROR(__xludf.DUMMYFUNCTION("""COMPUTED_VALUE"""),72626322)</f>
        <v>72626322</v>
      </c>
      <c r="P136" s="14" t="str">
        <f ca="1">IFERROR(__xludf.DUMMYFUNCTION("""COMPUTED_VALUE"""),"post@danskebolig.dk")</f>
        <v>post@danskebolig.dk</v>
      </c>
      <c r="Q136" s="15" t="str">
        <f ca="1">IFERROR(__xludf.DUMMYFUNCTION("""COMPUTED_VALUE"""),"https://www.boliga.dk/maegler/25982")</f>
        <v>https://www.boliga.dk/maegler/25982</v>
      </c>
      <c r="R136" s="14" t="str">
        <f ca="1">IFERROR(__xludf.DUMMYFUNCTION("""COMPUTED_VALUE"""),"-")</f>
        <v>-</v>
      </c>
      <c r="S136" s="14" t="str">
        <f ca="1">IFERROR(__xludf.DUMMYFUNCTION("""COMPUTED_VALUE"""),"-")</f>
        <v>-</v>
      </c>
      <c r="T136" s="14" t="str">
        <f ca="1">IFERROR(__xludf.DUMMYFUNCTION("""COMPUTED_VALUE"""),"-")</f>
        <v>-</v>
      </c>
      <c r="U136" s="14">
        <f ca="1">IFERROR(__xludf.DUMMYFUNCTION("""COMPUTED_VALUE"""),16)</f>
        <v>16</v>
      </c>
      <c r="V136" s="14" t="str">
        <f ca="1">IFERROR(__xludf.DUMMYFUNCTION("""COMPUTED_VALUE"""),"4672, 4750, 4652, 4660, 4690, 4720, 4640, 4653, 4654, 4733")</f>
        <v>4672, 4750, 4652, 4660, 4690, 4720, 4640, 4653, 4654, 4733</v>
      </c>
      <c r="W136" s="14">
        <f ca="1">IFERROR(__xludf.DUMMYFUNCTION("""COMPUTED_VALUE"""),30)</f>
        <v>30</v>
      </c>
      <c r="X136" s="14" t="str">
        <f ca="1">IFERROR(__xludf.DUMMYFUNCTION("""COMPUTED_VALUE"""),"4652, 4720, 4600, 4660, 4671, 4640, 4690, 4653, 4673, 4683")</f>
        <v>4652, 4720, 4600, 4660, 4671, 4640, 4690, 4653, 4673, 4683</v>
      </c>
      <c r="Y136" s="14" t="str">
        <f ca="1">IFERROR(__xludf.DUMMYFUNCTION("""COMPUTED_VALUE"""),"ja")</f>
        <v>ja</v>
      </c>
      <c r="Z136" s="14"/>
      <c r="AA136" s="14"/>
      <c r="AB136" s="14" t="str">
        <f ca="1">IFERROR(__xludf.DUMMYFUNCTION("""COMPUTED_VALUE"""),"x")</f>
        <v>x</v>
      </c>
      <c r="AC136" s="14" t="str">
        <f ca="1">IFERROR(__xludf.DUMMYFUNCTION("""COMPUTED_VALUE"""),"x")</f>
        <v>x</v>
      </c>
    </row>
    <row r="137" spans="1:29" ht="12.5" x14ac:dyDescent="0.25">
      <c r="A137" s="14" t="str">
        <f ca="1">IFERROR(__xludf.DUMMYFUNCTION("""COMPUTED_VALUE"""),"Camilla")</f>
        <v>Camilla</v>
      </c>
      <c r="B137" s="14" t="str">
        <f ca="1">IFERROR(__xludf.DUMMYFUNCTION("""COMPUTED_VALUE"""),"Din Boligmægler")</f>
        <v>Din Boligmægler</v>
      </c>
      <c r="C137" s="14">
        <f ca="1">IFERROR(__xludf.DUMMYFUNCTION("""COMPUTED_VALUE"""),29942676)</f>
        <v>29942676</v>
      </c>
      <c r="D137" s="14" t="str">
        <f ca="1">IFERROR(__xludf.DUMMYFUNCTION("""COMPUTED_VALUE"""),"MG-SJ: 3.499,-")</f>
        <v>MG-SJ: 3.499,-</v>
      </c>
      <c r="E137" s="14">
        <f ca="1">IFERROR(__xludf.DUMMYFUNCTION("""COMPUTED_VALUE"""),1202)</f>
        <v>1202</v>
      </c>
      <c r="F137" s="14" t="str">
        <f ca="1">IFERROR(__xludf.DUMMYFUNCTION("""COMPUTED_VALUE"""),"Lisa Carlsson")</f>
        <v>Lisa Carlsson</v>
      </c>
      <c r="G137" s="14" t="str">
        <f ca="1">IFERROR(__xludf.DUMMYFUNCTION("""COMPUTED_VALUE"""),"lisa@dinboligmaegler.dk")</f>
        <v>lisa@dinboligmaegler.dk</v>
      </c>
      <c r="H137" s="14">
        <f ca="1">IFERROR(__xludf.DUMMYFUNCTION("""COMPUTED_VALUE"""),20848435)</f>
        <v>20848435</v>
      </c>
      <c r="I137" s="14" t="str">
        <f ca="1">IFERROR(__xludf.DUMMYFUNCTION("""COMPUTED_VALUE"""),"Bredgade 5")</f>
        <v>Bredgade 5</v>
      </c>
      <c r="J137" s="14">
        <f ca="1">IFERROR(__xludf.DUMMYFUNCTION("""COMPUTED_VALUE"""),4653)</f>
        <v>4653</v>
      </c>
      <c r="K137" s="14" t="str">
        <f ca="1">IFERROR(__xludf.DUMMYFUNCTION("""COMPUTED_VALUE"""),"Karise")</f>
        <v>Karise</v>
      </c>
      <c r="L137" s="14" t="str">
        <f ca="1">IFERROR(__xludf.DUMMYFUNCTION("""COMPUTED_VALUE"""),"Faxe")</f>
        <v>Faxe</v>
      </c>
      <c r="M137" s="14" t="str">
        <f ca="1">IFERROR(__xludf.DUMMYFUNCTION("""COMPUTED_VALUE"""),"Vest- og Sydsjælland")</f>
        <v>Vest- og Sydsjælland</v>
      </c>
      <c r="N137" s="14" t="str">
        <f ca="1">IFERROR(__xludf.DUMMYFUNCTION("""COMPUTED_VALUE"""),"Sjælland")</f>
        <v>Sjælland</v>
      </c>
      <c r="O137" s="14">
        <f ca="1">IFERROR(__xludf.DUMMYFUNCTION("""COMPUTED_VALUE"""),20848435)</f>
        <v>20848435</v>
      </c>
      <c r="P137" s="14" t="str">
        <f ca="1">IFERROR(__xludf.DUMMYFUNCTION("""COMPUTED_VALUE"""),"lisa@dinboligmaegler.dk")</f>
        <v>lisa@dinboligmaegler.dk</v>
      </c>
      <c r="Q137" s="15" t="str">
        <f ca="1">IFERROR(__xludf.DUMMYFUNCTION("""COMPUTED_VALUE"""),"https://www.boliga.dk/maegler/26683")</f>
        <v>https://www.boliga.dk/maegler/26683</v>
      </c>
      <c r="R137" s="14" t="str">
        <f ca="1">IFERROR(__xludf.DUMMYFUNCTION("""COMPUTED_VALUE"""),"-")</f>
        <v>-</v>
      </c>
      <c r="S137" s="14" t="str">
        <f ca="1">IFERROR(__xludf.DUMMYFUNCTION("""COMPUTED_VALUE"""),"-")</f>
        <v>-</v>
      </c>
      <c r="T137" s="14" t="str">
        <f ca="1">IFERROR(__xludf.DUMMYFUNCTION("""COMPUTED_VALUE"""),"-")</f>
        <v>-</v>
      </c>
      <c r="U137" s="14">
        <f ca="1">IFERROR(__xludf.DUMMYFUNCTION("""COMPUTED_VALUE"""),3)</f>
        <v>3</v>
      </c>
      <c r="V137" s="14" t="str">
        <f ca="1">IFERROR(__xludf.DUMMYFUNCTION("""COMPUTED_VALUE"""),"4660, 4653")</f>
        <v>4660, 4653</v>
      </c>
      <c r="W137" s="14">
        <f ca="1">IFERROR(__xludf.DUMMYFUNCTION("""COMPUTED_VALUE"""),6)</f>
        <v>6</v>
      </c>
      <c r="X137" s="14" t="str">
        <f ca="1">IFERROR(__xludf.DUMMYFUNCTION("""COMPUTED_VALUE"""),"4652, 4660, 4671, 4653, 4672, 4683")</f>
        <v>4652, 4660, 4671, 4653, 4672, 4683</v>
      </c>
      <c r="Y137" s="14" t="str">
        <f ca="1">IFERROR(__xludf.DUMMYFUNCTION("""COMPUTED_VALUE"""),"ja")</f>
        <v>ja</v>
      </c>
      <c r="Z137" s="14"/>
      <c r="AA137" s="14"/>
      <c r="AB137" s="14" t="str">
        <f ca="1">IFERROR(__xludf.DUMMYFUNCTION("""COMPUTED_VALUE"""),"x")</f>
        <v>x</v>
      </c>
      <c r="AC137" s="14" t="str">
        <f ca="1">IFERROR(__xludf.DUMMYFUNCTION("""COMPUTED_VALUE"""),"x")</f>
        <v>x</v>
      </c>
    </row>
    <row r="138" spans="1:29" ht="12.5" x14ac:dyDescent="0.25">
      <c r="A138" s="14" t="str">
        <f ca="1">IFERROR(__xludf.DUMMYFUNCTION("""COMPUTED_VALUE"""),"Camilla")</f>
        <v>Camilla</v>
      </c>
      <c r="B138" s="14" t="str">
        <f ca="1">IFERROR(__xludf.DUMMYFUNCTION("""COMPUTED_VALUE"""),"Ejendomsmæglerfirmaet Allan Folmer")</f>
        <v>Ejendomsmæglerfirmaet Allan Folmer</v>
      </c>
      <c r="C138" s="14">
        <f ca="1">IFERROR(__xludf.DUMMYFUNCTION("""COMPUTED_VALUE"""),17206044)</f>
        <v>17206044</v>
      </c>
      <c r="D138" s="14" t="str">
        <f ca="1">IFERROR(__xludf.DUMMYFUNCTION("""COMPUTED_VALUE"""),"MG-SJ: 3.499,-")</f>
        <v>MG-SJ: 3.499,-</v>
      </c>
      <c r="E138" s="14">
        <f ca="1">IFERROR(__xludf.DUMMYFUNCTION("""COMPUTED_VALUE"""),1202)</f>
        <v>1202</v>
      </c>
      <c r="F138" s="14" t="str">
        <f ca="1">IFERROR(__xludf.DUMMYFUNCTION("""COMPUTED_VALUE"""),"Allan Folmer")</f>
        <v>Allan Folmer</v>
      </c>
      <c r="G138" s="15" t="str">
        <f ca="1">IFERROR(__xludf.DUMMYFUNCTION("""COMPUTED_VALUE"""),"an@afbolig.dk")</f>
        <v>an@afbolig.dk</v>
      </c>
      <c r="H138" s="14">
        <f ca="1">IFERROR(__xludf.DUMMYFUNCTION("""COMPUTED_VALUE"""),20218899)</f>
        <v>20218899</v>
      </c>
      <c r="I138" s="14" t="str">
        <f ca="1">IFERROR(__xludf.DUMMYFUNCTION("""COMPUTED_VALUE"""),"Vestergade 20, 1.")</f>
        <v>Vestergade 20, 1.</v>
      </c>
      <c r="J138" s="14">
        <f ca="1">IFERROR(__xludf.DUMMYFUNCTION("""COMPUTED_VALUE"""),4600)</f>
        <v>4600</v>
      </c>
      <c r="K138" s="14" t="str">
        <f ca="1">IFERROR(__xludf.DUMMYFUNCTION("""COMPUTED_VALUE"""),"Køge")</f>
        <v>Køge</v>
      </c>
      <c r="L138" s="14" t="str">
        <f ca="1">IFERROR(__xludf.DUMMYFUNCTION("""COMPUTED_VALUE"""),"Køge")</f>
        <v>Køge</v>
      </c>
      <c r="M138" s="14" t="str">
        <f ca="1">IFERROR(__xludf.DUMMYFUNCTION("""COMPUTED_VALUE"""),"Østsjælland")</f>
        <v>Østsjælland</v>
      </c>
      <c r="N138" s="14" t="str">
        <f ca="1">IFERROR(__xludf.DUMMYFUNCTION("""COMPUTED_VALUE"""),"Sjælland")</f>
        <v>Sjælland</v>
      </c>
      <c r="O138" s="14">
        <f ca="1">IFERROR(__xludf.DUMMYFUNCTION("""COMPUTED_VALUE"""),40254480)</f>
        <v>40254480</v>
      </c>
      <c r="P138" s="14" t="str">
        <f ca="1">IFERROR(__xludf.DUMMYFUNCTION("""COMPUTED_VALUE"""),"4600@afbolig.dk")</f>
        <v>4600@afbolig.dk</v>
      </c>
      <c r="Q138" s="15" t="str">
        <f ca="1">IFERROR(__xludf.DUMMYFUNCTION("""COMPUTED_VALUE"""),"https://www.boliga.dk/maegler/25199")</f>
        <v>https://www.boliga.dk/maegler/25199</v>
      </c>
      <c r="R138" s="14" t="str">
        <f ca="1">IFERROR(__xludf.DUMMYFUNCTION("""COMPUTED_VALUE"""),"-")</f>
        <v>-</v>
      </c>
      <c r="S138" s="14" t="str">
        <f ca="1">IFERROR(__xludf.DUMMYFUNCTION("""COMPUTED_VALUE"""),"-")</f>
        <v>-</v>
      </c>
      <c r="T138" s="14" t="str">
        <f ca="1">IFERROR(__xludf.DUMMYFUNCTION("""COMPUTED_VALUE"""),"-")</f>
        <v>-</v>
      </c>
      <c r="U138" s="14">
        <f ca="1">IFERROR(__xludf.DUMMYFUNCTION("""COMPUTED_VALUE"""),15)</f>
        <v>15</v>
      </c>
      <c r="V138" s="14" t="str">
        <f ca="1">IFERROR(__xludf.DUMMYFUNCTION("""COMPUTED_VALUE"""),"4673, 4652, 4671, 4600, 4681")</f>
        <v>4673, 4652, 4671, 4600, 4681</v>
      </c>
      <c r="W138" s="14">
        <f ca="1">IFERROR(__xludf.DUMMYFUNCTION("""COMPUTED_VALUE"""),12)</f>
        <v>12</v>
      </c>
      <c r="X138" s="14" t="str">
        <f ca="1">IFERROR(__xludf.DUMMYFUNCTION("""COMPUTED_VALUE"""),"4652, 4632, 4681, 4682, 4600")</f>
        <v>4652, 4632, 4681, 4682, 4600</v>
      </c>
      <c r="Y138" s="14" t="str">
        <f ca="1">IFERROR(__xludf.DUMMYFUNCTION("""COMPUTED_VALUE"""),"ja")</f>
        <v>ja</v>
      </c>
      <c r="Z138" s="14"/>
      <c r="AA138" s="14"/>
      <c r="AB138" s="14" t="str">
        <f ca="1">IFERROR(__xludf.DUMMYFUNCTION("""COMPUTED_VALUE"""),"x")</f>
        <v>x</v>
      </c>
      <c r="AC138" s="14" t="str">
        <f ca="1">IFERROR(__xludf.DUMMYFUNCTION("""COMPUTED_VALUE"""),"x")</f>
        <v>x</v>
      </c>
    </row>
    <row r="139" spans="1:29" ht="12.5" x14ac:dyDescent="0.25">
      <c r="A139" s="14" t="str">
        <f ca="1">IFERROR(__xludf.DUMMYFUNCTION("""COMPUTED_VALUE"""),"Camilla")</f>
        <v>Camilla</v>
      </c>
      <c r="B139" s="14" t="str">
        <f ca="1">IFERROR(__xludf.DUMMYFUNCTION("""COMPUTED_VALUE"""),"Ejendomsmæglerfirmaet Hensrik")</f>
        <v>Ejendomsmæglerfirmaet Hensrik</v>
      </c>
      <c r="C139" s="14">
        <f ca="1">IFERROR(__xludf.DUMMYFUNCTION("""COMPUTED_VALUE"""),38278819)</f>
        <v>38278819</v>
      </c>
      <c r="D139" s="14" t="str">
        <f ca="1">IFERROR(__xludf.DUMMYFUNCTION("""COMPUTED_VALUE"""),"MG-SJ: 3.499,-")</f>
        <v>MG-SJ: 3.499,-</v>
      </c>
      <c r="E139" s="14">
        <f ca="1">IFERROR(__xludf.DUMMYFUNCTION("""COMPUTED_VALUE"""),1202)</f>
        <v>1202</v>
      </c>
      <c r="F139" s="14" t="str">
        <f ca="1">IFERROR(__xludf.DUMMYFUNCTION("""COMPUTED_VALUE"""),"Thomas Nielsen")</f>
        <v>Thomas Nielsen</v>
      </c>
      <c r="G139" s="14" t="str">
        <f ca="1">IFERROR(__xludf.DUMMYFUNCTION("""COMPUTED_VALUE"""),"thomas@hensrik.dk")</f>
        <v>thomas@hensrik.dk</v>
      </c>
      <c r="H139" s="14">
        <f ca="1">IFERROR(__xludf.DUMMYFUNCTION("""COMPUTED_VALUE"""),50602981)</f>
        <v>50602981</v>
      </c>
      <c r="I139" s="14" t="str">
        <f ca="1">IFERROR(__xludf.DUMMYFUNCTION("""COMPUTED_VALUE"""),"Sankt Ols Gade 4")</f>
        <v>Sankt Ols Gade 4</v>
      </c>
      <c r="J139" s="14">
        <f ca="1">IFERROR(__xludf.DUMMYFUNCTION("""COMPUTED_VALUE"""),4000)</f>
        <v>4000</v>
      </c>
      <c r="K139" s="14" t="str">
        <f ca="1">IFERROR(__xludf.DUMMYFUNCTION("""COMPUTED_VALUE"""),"Roskilde")</f>
        <v>Roskilde</v>
      </c>
      <c r="L139" s="14" t="str">
        <f ca="1">IFERROR(__xludf.DUMMYFUNCTION("""COMPUTED_VALUE"""),"Roskilde")</f>
        <v>Roskilde</v>
      </c>
      <c r="M139" s="14" t="str">
        <f ca="1">IFERROR(__xludf.DUMMYFUNCTION("""COMPUTED_VALUE"""),"Østsjælland")</f>
        <v>Østsjælland</v>
      </c>
      <c r="N139" s="14" t="str">
        <f ca="1">IFERROR(__xludf.DUMMYFUNCTION("""COMPUTED_VALUE"""),"Sjælland")</f>
        <v>Sjælland</v>
      </c>
      <c r="O139" s="14" t="str">
        <f ca="1">IFERROR(__xludf.DUMMYFUNCTION("""COMPUTED_VALUE"""),"70 208 218")</f>
        <v>70 208 218</v>
      </c>
      <c r="P139" s="14" t="str">
        <f ca="1">IFERROR(__xludf.DUMMYFUNCTION("""COMPUTED_VALUE"""),"info@hensrik.dk")</f>
        <v>info@hensrik.dk</v>
      </c>
      <c r="Q139" s="15" t="str">
        <f ca="1">IFERROR(__xludf.DUMMYFUNCTION("""COMPUTED_VALUE"""),"https://www.boliga.dk/maegler/17221")</f>
        <v>https://www.boliga.dk/maegler/17221</v>
      </c>
      <c r="R139" s="14" t="str">
        <f ca="1">IFERROR(__xludf.DUMMYFUNCTION("""COMPUTED_VALUE"""),"-")</f>
        <v>-</v>
      </c>
      <c r="S139" s="14" t="str">
        <f ca="1">IFERROR(__xludf.DUMMYFUNCTION("""COMPUTED_VALUE"""),"-")</f>
        <v>-</v>
      </c>
      <c r="T139" s="14" t="str">
        <f ca="1">IFERROR(__xludf.DUMMYFUNCTION("""COMPUTED_VALUE"""),"-")</f>
        <v>-</v>
      </c>
      <c r="U139" s="14">
        <f ca="1">IFERROR(__xludf.DUMMYFUNCTION("""COMPUTED_VALUE"""),26)</f>
        <v>26</v>
      </c>
      <c r="V139" s="14" t="str">
        <f ca="1">IFERROR(__xludf.DUMMYFUNCTION("""COMPUTED_VALUE"""),"4360, 4000, 4621, 4320, 4040")</f>
        <v>4360, 4000, 4621, 4320, 4040</v>
      </c>
      <c r="W139" s="14">
        <f ca="1">IFERROR(__xludf.DUMMYFUNCTION("""COMPUTED_VALUE"""),59)</f>
        <v>59</v>
      </c>
      <c r="X139" s="14" t="str">
        <f ca="1">IFERROR(__xludf.DUMMYFUNCTION("""COMPUTED_VALUE"""),"4330, 4000, 4622, 4070, 4060, 4621, 4040, 4320, 4130")</f>
        <v>4330, 4000, 4622, 4070, 4060, 4621, 4040, 4320, 4130</v>
      </c>
      <c r="Y139" s="14" t="str">
        <f ca="1">IFERROR(__xludf.DUMMYFUNCTION("""COMPUTED_VALUE"""),"ja")</f>
        <v>ja</v>
      </c>
      <c r="Z139" s="14"/>
      <c r="AA139" s="14"/>
      <c r="AB139" s="14" t="str">
        <f ca="1">IFERROR(__xludf.DUMMYFUNCTION("""COMPUTED_VALUE"""),"x")</f>
        <v>x</v>
      </c>
      <c r="AC139" s="14" t="str">
        <f ca="1">IFERROR(__xludf.DUMMYFUNCTION("""COMPUTED_VALUE"""),"x")</f>
        <v>x</v>
      </c>
    </row>
    <row r="140" spans="1:29" ht="12.5" x14ac:dyDescent="0.25">
      <c r="A140" s="14" t="str">
        <f ca="1">IFERROR(__xludf.DUMMYFUNCTION("""COMPUTED_VALUE"""),"Camilla")</f>
        <v>Camilla</v>
      </c>
      <c r="B140" s="14" t="str">
        <f ca="1">IFERROR(__xludf.DUMMYFUNCTION("""COMPUTED_VALUE"""),"Ejendomsmæglerhuset Køge ApS ""Det lille hvide hus""")</f>
        <v>Ejendomsmæglerhuset Køge ApS "Det lille hvide hus"</v>
      </c>
      <c r="C140" s="14">
        <f ca="1">IFERROR(__xludf.DUMMYFUNCTION("""COMPUTED_VALUE"""),35808035)</f>
        <v>35808035</v>
      </c>
      <c r="D140" s="14" t="str">
        <f ca="1">IFERROR(__xludf.DUMMYFUNCTION("""COMPUTED_VALUE"""),"MG-SJ: 3.499,-")</f>
        <v>MG-SJ: 3.499,-</v>
      </c>
      <c r="E140" s="14">
        <f ca="1">IFERROR(__xludf.DUMMYFUNCTION("""COMPUTED_VALUE"""),1202)</f>
        <v>1202</v>
      </c>
      <c r="F140" s="14" t="str">
        <f ca="1">IFERROR(__xludf.DUMMYFUNCTION("""COMPUTED_VALUE"""),"Claus Larnkjær")</f>
        <v>Claus Larnkjær</v>
      </c>
      <c r="G140" s="14" t="str">
        <f ca="1">IFERROR(__xludf.DUMMYFUNCTION("""COMPUTED_VALUE"""),"cl@detlillehvidehus.dk")</f>
        <v>cl@detlillehvidehus.dk</v>
      </c>
      <c r="H140" s="14">
        <f ca="1">IFERROR(__xludf.DUMMYFUNCTION("""COMPUTED_VALUE"""),40143045)</f>
        <v>40143045</v>
      </c>
      <c r="I140" s="14" t="str">
        <f ca="1">IFERROR(__xludf.DUMMYFUNCTION("""COMPUTED_VALUE"""),"Søndre Alle 19")</f>
        <v>Søndre Alle 19</v>
      </c>
      <c r="J140" s="14">
        <f ca="1">IFERROR(__xludf.DUMMYFUNCTION("""COMPUTED_VALUE"""),4600)</f>
        <v>4600</v>
      </c>
      <c r="K140" s="14" t="str">
        <f ca="1">IFERROR(__xludf.DUMMYFUNCTION("""COMPUTED_VALUE"""),"Køge")</f>
        <v>Køge</v>
      </c>
      <c r="L140" s="14" t="str">
        <f ca="1">IFERROR(__xludf.DUMMYFUNCTION("""COMPUTED_VALUE"""),"Køge")</f>
        <v>Køge</v>
      </c>
      <c r="M140" s="14" t="str">
        <f ca="1">IFERROR(__xludf.DUMMYFUNCTION("""COMPUTED_VALUE"""),"Østsjælland")</f>
        <v>Østsjælland</v>
      </c>
      <c r="N140" s="14" t="str">
        <f ca="1">IFERROR(__xludf.DUMMYFUNCTION("""COMPUTED_VALUE"""),"Sjælland")</f>
        <v>Sjælland</v>
      </c>
      <c r="O140" s="14">
        <f ca="1">IFERROR(__xludf.DUMMYFUNCTION("""COMPUTED_VALUE"""),71994600)</f>
        <v>71994600</v>
      </c>
      <c r="P140" s="14" t="str">
        <f ca="1">IFERROR(__xludf.DUMMYFUNCTION("""COMPUTED_VALUE"""),"info@detlillehvidehus.dk")</f>
        <v>info@detlillehvidehus.dk</v>
      </c>
      <c r="Q140" s="15" t="str">
        <f ca="1">IFERROR(__xludf.DUMMYFUNCTION("""COMPUTED_VALUE"""),"https://www.boliga.dk/maegler/22382")</f>
        <v>https://www.boliga.dk/maegler/22382</v>
      </c>
      <c r="R140" s="14" t="str">
        <f ca="1">IFERROR(__xludf.DUMMYFUNCTION("""COMPUTED_VALUE"""),"-")</f>
        <v>-</v>
      </c>
      <c r="S140" s="14" t="str">
        <f ca="1">IFERROR(__xludf.DUMMYFUNCTION("""COMPUTED_VALUE"""),"-")</f>
        <v>-</v>
      </c>
      <c r="T140" s="14" t="str">
        <f ca="1">IFERROR(__xludf.DUMMYFUNCTION("""COMPUTED_VALUE"""),"-")</f>
        <v>-</v>
      </c>
      <c r="U140" s="14">
        <f ca="1">IFERROR(__xludf.DUMMYFUNCTION("""COMPUTED_VALUE"""),1)</f>
        <v>1</v>
      </c>
      <c r="V140" s="14">
        <f ca="1">IFERROR(__xludf.DUMMYFUNCTION("""COMPUTED_VALUE"""),4632)</f>
        <v>4632</v>
      </c>
      <c r="W140" s="14">
        <f ca="1">IFERROR(__xludf.DUMMYFUNCTION("""COMPUTED_VALUE"""),2)</f>
        <v>2</v>
      </c>
      <c r="X140" s="14" t="str">
        <f ca="1">IFERROR(__xludf.DUMMYFUNCTION("""COMPUTED_VALUE"""),"4600, 2670")</f>
        <v>4600, 2670</v>
      </c>
      <c r="Y140" s="14" t="str">
        <f ca="1">IFERROR(__xludf.DUMMYFUNCTION("""COMPUTED_VALUE"""),"ja")</f>
        <v>ja</v>
      </c>
      <c r="Z140" s="14"/>
      <c r="AA140" s="14"/>
      <c r="AB140" s="14" t="str">
        <f ca="1">IFERROR(__xludf.DUMMYFUNCTION("""COMPUTED_VALUE"""),"x")</f>
        <v>x</v>
      </c>
      <c r="AC140" s="14" t="str">
        <f ca="1">IFERROR(__xludf.DUMMYFUNCTION("""COMPUTED_VALUE"""),"x")</f>
        <v>x</v>
      </c>
    </row>
    <row r="141" spans="1:29" ht="12.5" x14ac:dyDescent="0.25">
      <c r="A141" s="14" t="str">
        <f ca="1">IFERROR(__xludf.DUMMYFUNCTION("""COMPUTED_VALUE"""),"Camilla")</f>
        <v>Camilla</v>
      </c>
      <c r="B141" s="14" t="str">
        <f ca="1">IFERROR(__xludf.DUMMYFUNCTION("""COMPUTED_VALUE"""),"Ekman Bolig")</f>
        <v>Ekman Bolig</v>
      </c>
      <c r="C141" s="14">
        <f ca="1">IFERROR(__xludf.DUMMYFUNCTION("""COMPUTED_VALUE"""),32730078)</f>
        <v>32730078</v>
      </c>
      <c r="D141" s="14" t="str">
        <f ca="1">IFERROR(__xludf.DUMMYFUNCTION("""COMPUTED_VALUE"""),"MG-SJ: 3.499,-")</f>
        <v>MG-SJ: 3.499,-</v>
      </c>
      <c r="E141" s="14">
        <f ca="1">IFERROR(__xludf.DUMMYFUNCTION("""COMPUTED_VALUE"""),1202)</f>
        <v>1202</v>
      </c>
      <c r="F141" s="14" t="str">
        <f ca="1">IFERROR(__xludf.DUMMYFUNCTION("""COMPUTED_VALUE"""),"Lars Ekman")</f>
        <v>Lars Ekman</v>
      </c>
      <c r="G141" s="15" t="str">
        <f ca="1">IFERROR(__xludf.DUMMYFUNCTION("""COMPUTED_VALUE"""),"lars@ekmanbolig.dk")</f>
        <v>lars@ekmanbolig.dk</v>
      </c>
      <c r="H141" s="14">
        <f ca="1">IFERROR(__xludf.DUMMYFUNCTION("""COMPUTED_VALUE"""),40791033)</f>
        <v>40791033</v>
      </c>
      <c r="I141" s="14" t="str">
        <f ca="1">IFERROR(__xludf.DUMMYFUNCTION("""COMPUTED_VALUE"""),"Algade 50, 2.sal")</f>
        <v>Algade 50, 2.sal</v>
      </c>
      <c r="J141" s="14">
        <f ca="1">IFERROR(__xludf.DUMMYFUNCTION("""COMPUTED_VALUE"""),4000)</f>
        <v>4000</v>
      </c>
      <c r="K141" s="14" t="str">
        <f ca="1">IFERROR(__xludf.DUMMYFUNCTION("""COMPUTED_VALUE"""),"Roskilde")</f>
        <v>Roskilde</v>
      </c>
      <c r="L141" s="14" t="str">
        <f ca="1">IFERROR(__xludf.DUMMYFUNCTION("""COMPUTED_VALUE"""),"Roskilde")</f>
        <v>Roskilde</v>
      </c>
      <c r="M141" s="14" t="str">
        <f ca="1">IFERROR(__xludf.DUMMYFUNCTION("""COMPUTED_VALUE"""),"Østsjælland")</f>
        <v>Østsjælland</v>
      </c>
      <c r="N141" s="14" t="str">
        <f ca="1">IFERROR(__xludf.DUMMYFUNCTION("""COMPUTED_VALUE"""),"Sjælland")</f>
        <v>Sjælland</v>
      </c>
      <c r="O141" s="14">
        <f ca="1">IFERROR(__xludf.DUMMYFUNCTION("""COMPUTED_VALUE"""),70231033)</f>
        <v>70231033</v>
      </c>
      <c r="P141" s="14" t="str">
        <f ca="1">IFERROR(__xludf.DUMMYFUNCTION("""COMPUTED_VALUE"""),"info@ekmanbolig.dk")</f>
        <v>info@ekmanbolig.dk</v>
      </c>
      <c r="Q141" s="15" t="str">
        <f ca="1">IFERROR(__xludf.DUMMYFUNCTION("""COMPUTED_VALUE"""),"https://www.boliga.dk/maegler/17139")</f>
        <v>https://www.boliga.dk/maegler/17139</v>
      </c>
      <c r="R141" s="14" t="str">
        <f ca="1">IFERROR(__xludf.DUMMYFUNCTION("""COMPUTED_VALUE"""),"-")</f>
        <v>-</v>
      </c>
      <c r="S141" s="14" t="str">
        <f ca="1">IFERROR(__xludf.DUMMYFUNCTION("""COMPUTED_VALUE"""),"-")</f>
        <v>-</v>
      </c>
      <c r="T141" s="14" t="str">
        <f ca="1">IFERROR(__xludf.DUMMYFUNCTION("""COMPUTED_VALUE"""),"-")</f>
        <v>-</v>
      </c>
      <c r="U141" s="14">
        <f ca="1">IFERROR(__xludf.DUMMYFUNCTION("""COMPUTED_VALUE"""),23)</f>
        <v>23</v>
      </c>
      <c r="V141" s="14" t="str">
        <f ca="1">IFERROR(__xludf.DUMMYFUNCTION("""COMPUTED_VALUE"""),"2700, 1973, 4000, 4140, 2791, 4070, 4100, 5683, 4030, 2100, 4040, 4622, 4390, 4174, 4581")</f>
        <v>2700, 1973, 4000, 4140, 2791, 4070, 4100, 5683, 4030, 2100, 4040, 4622, 4390, 4174, 4581</v>
      </c>
      <c r="W141" s="14">
        <f ca="1">IFERROR(__xludf.DUMMYFUNCTION("""COMPUTED_VALUE"""),37)</f>
        <v>37</v>
      </c>
      <c r="X141" s="14" t="str">
        <f ca="1">IFERROR(__xludf.DUMMYFUNCTION("""COMPUTED_VALUE"""),"2791, 2300, 4000, 1771, 4040, 2100, 4220, 4130, 4070, 4560, 4330, 4621")</f>
        <v>2791, 2300, 4000, 1771, 4040, 2100, 4220, 4130, 4070, 4560, 4330, 4621</v>
      </c>
      <c r="Y141" s="14" t="str">
        <f ca="1">IFERROR(__xludf.DUMMYFUNCTION("""COMPUTED_VALUE"""),"ja")</f>
        <v>ja</v>
      </c>
      <c r="Z141" s="14"/>
      <c r="AA141" s="14"/>
      <c r="AB141" s="14" t="str">
        <f ca="1">IFERROR(__xludf.DUMMYFUNCTION("""COMPUTED_VALUE"""),"x")</f>
        <v>x</v>
      </c>
      <c r="AC141" s="14" t="str">
        <f ca="1">IFERROR(__xludf.DUMMYFUNCTION("""COMPUTED_VALUE"""),"x")</f>
        <v>x</v>
      </c>
    </row>
    <row r="142" spans="1:29" ht="12.5" x14ac:dyDescent="0.25">
      <c r="A142" s="14" t="str">
        <f ca="1">IFERROR(__xludf.DUMMYFUNCTION("""COMPUTED_VALUE"""),"Camilla")</f>
        <v>Camilla</v>
      </c>
      <c r="B142" s="14" t="str">
        <f ca="1">IFERROR(__xludf.DUMMYFUNCTION("""COMPUTED_VALUE"""),"Fairmægler")</f>
        <v>Fairmægler</v>
      </c>
      <c r="C142" s="14">
        <f ca="1">IFERROR(__xludf.DUMMYFUNCTION("""COMPUTED_VALUE"""),40956107)</f>
        <v>40956107</v>
      </c>
      <c r="D142" s="14" t="str">
        <f ca="1">IFERROR(__xludf.DUMMYFUNCTION("""COMPUTED_VALUE"""),"MG-SJ: 3.499,-")</f>
        <v>MG-SJ: 3.499,-</v>
      </c>
      <c r="E142" s="14">
        <f ca="1">IFERROR(__xludf.DUMMYFUNCTION("""COMPUTED_VALUE"""),1202)</f>
        <v>1202</v>
      </c>
      <c r="F142" s="14" t="str">
        <f ca="1">IFERROR(__xludf.DUMMYFUNCTION("""COMPUTED_VALUE"""),"Brian Henriksen")</f>
        <v>Brian Henriksen</v>
      </c>
      <c r="G142" s="14" t="str">
        <f ca="1">IFERROR(__xludf.DUMMYFUNCTION("""COMPUTED_VALUE"""),"bh@fairmaegler.dk")</f>
        <v>bh@fairmaegler.dk</v>
      </c>
      <c r="H142" s="14">
        <f ca="1">IFERROR(__xludf.DUMMYFUNCTION("""COMPUTED_VALUE"""),40856328)</f>
        <v>40856328</v>
      </c>
      <c r="I142" s="14" t="str">
        <f ca="1">IFERROR(__xludf.DUMMYFUNCTION("""COMPUTED_VALUE"""),"Algade 127")</f>
        <v>Algade 127</v>
      </c>
      <c r="J142" s="14">
        <f ca="1">IFERROR(__xludf.DUMMYFUNCTION("""COMPUTED_VALUE"""),4760)</f>
        <v>4760</v>
      </c>
      <c r="K142" s="14" t="str">
        <f ca="1">IFERROR(__xludf.DUMMYFUNCTION("""COMPUTED_VALUE"""),"Vordingborg")</f>
        <v>Vordingborg</v>
      </c>
      <c r="L142" s="14" t="str">
        <f ca="1">IFERROR(__xludf.DUMMYFUNCTION("""COMPUTED_VALUE"""),"Vordingborg")</f>
        <v>Vordingborg</v>
      </c>
      <c r="M142" s="14" t="str">
        <f ca="1">IFERROR(__xludf.DUMMYFUNCTION("""COMPUTED_VALUE"""),"Vest- og Sydsjælland")</f>
        <v>Vest- og Sydsjælland</v>
      </c>
      <c r="N142" s="14" t="str">
        <f ca="1">IFERROR(__xludf.DUMMYFUNCTION("""COMPUTED_VALUE"""),"Sjælland")</f>
        <v>Sjælland</v>
      </c>
      <c r="O142" s="14">
        <f ca="1">IFERROR(__xludf.DUMMYFUNCTION("""COMPUTED_VALUE"""),20306120)</f>
        <v>20306120</v>
      </c>
      <c r="P142" s="14" t="str">
        <f ca="1">IFERROR(__xludf.DUMMYFUNCTION("""COMPUTED_VALUE"""),"vordingborg@fairmaegler.dk/")</f>
        <v>vordingborg@fairmaegler.dk/</v>
      </c>
      <c r="Q142" s="15" t="str">
        <f ca="1">IFERROR(__xludf.DUMMYFUNCTION("""COMPUTED_VALUE"""),"https://www.boliga.dk/maegler/20867")</f>
        <v>https://www.boliga.dk/maegler/20867</v>
      </c>
      <c r="R142" s="14" t="str">
        <f ca="1">IFERROR(__xludf.DUMMYFUNCTION("""COMPUTED_VALUE"""),"-")</f>
        <v>-</v>
      </c>
      <c r="S142" s="14" t="str">
        <f ca="1">IFERROR(__xludf.DUMMYFUNCTION("""COMPUTED_VALUE"""),"-")</f>
        <v>-</v>
      </c>
      <c r="T142" s="14" t="str">
        <f ca="1">IFERROR(__xludf.DUMMYFUNCTION("""COMPUTED_VALUE"""),"-")</f>
        <v>-</v>
      </c>
      <c r="U142" s="14">
        <f ca="1">IFERROR(__xludf.DUMMYFUNCTION("""COMPUTED_VALUE"""),25)</f>
        <v>25</v>
      </c>
      <c r="V142" s="14" t="str">
        <f ca="1">IFERROR(__xludf.DUMMYFUNCTION("""COMPUTED_VALUE"""),"4720, 4684, 4760, 4750, 4771, 4773, 4840, 4735, 4983, 4780, 4800, 4913, 4850, 4862, 4900, 4990")</f>
        <v>4720, 4684, 4760, 4750, 4771, 4773, 4840, 4735, 4983, 4780, 4800, 4913, 4850, 4862, 4900, 4990</v>
      </c>
      <c r="W142" s="14">
        <f ca="1">IFERROR(__xludf.DUMMYFUNCTION("""COMPUTED_VALUE"""),10)</f>
        <v>10</v>
      </c>
      <c r="X142" s="14" t="str">
        <f ca="1">IFERROR(__xludf.DUMMYFUNCTION("""COMPUTED_VALUE"""),"4760, 4872, 4941, 4700, 4900, 4735, 4791")</f>
        <v>4760, 4872, 4941, 4700, 4900, 4735, 4791</v>
      </c>
      <c r="Y142" s="14" t="str">
        <f ca="1">IFERROR(__xludf.DUMMYFUNCTION("""COMPUTED_VALUE"""),"ja")</f>
        <v>ja</v>
      </c>
      <c r="Z142" s="14"/>
      <c r="AA142" s="14"/>
      <c r="AB142" s="14" t="str">
        <f ca="1">IFERROR(__xludf.DUMMYFUNCTION("""COMPUTED_VALUE"""),"x")</f>
        <v>x</v>
      </c>
      <c r="AC142" s="14" t="str">
        <f ca="1">IFERROR(__xludf.DUMMYFUNCTION("""COMPUTED_VALUE"""),"x")</f>
        <v>x</v>
      </c>
    </row>
    <row r="143" spans="1:29" ht="12.5" x14ac:dyDescent="0.25">
      <c r="A143" s="14" t="str">
        <f ca="1">IFERROR(__xludf.DUMMYFUNCTION("""COMPUTED_VALUE"""),"Camilla")</f>
        <v>Camilla</v>
      </c>
      <c r="B143" s="14" t="str">
        <f ca="1">IFERROR(__xludf.DUMMYFUNCTION("""COMPUTED_VALUE"""),"Hovmøller Bolig")</f>
        <v>Hovmøller Bolig</v>
      </c>
      <c r="C143" s="14">
        <f ca="1">IFERROR(__xludf.DUMMYFUNCTION("""COMPUTED_VALUE"""),36736445)</f>
        <v>36736445</v>
      </c>
      <c r="D143" s="14" t="str">
        <f ca="1">IFERROR(__xludf.DUMMYFUNCTION("""COMPUTED_VALUE"""),"MG-SJ: 3.499,-")</f>
        <v>MG-SJ: 3.499,-</v>
      </c>
      <c r="E143" s="14">
        <f ca="1">IFERROR(__xludf.DUMMYFUNCTION("""COMPUTED_VALUE"""),1202)</f>
        <v>1202</v>
      </c>
      <c r="F143" s="14" t="str">
        <f ca="1">IFERROR(__xludf.DUMMYFUNCTION("""COMPUTED_VALUE"""),"Maria Hovmøller")</f>
        <v>Maria Hovmøller</v>
      </c>
      <c r="G143" s="14" t="str">
        <f ca="1">IFERROR(__xludf.DUMMYFUNCTION("""COMPUTED_VALUE"""),"bolig@hovmoeller.dk")</f>
        <v>bolig@hovmoeller.dk</v>
      </c>
      <c r="H143" s="14">
        <f ca="1">IFERROR(__xludf.DUMMYFUNCTION("""COMPUTED_VALUE"""),33130010)</f>
        <v>33130010</v>
      </c>
      <c r="I143" s="14" t="str">
        <f ca="1">IFERROR(__xludf.DUMMYFUNCTION("""COMPUTED_VALUE"""),"Rødbyvej 5")</f>
        <v>Rødbyvej 5</v>
      </c>
      <c r="J143" s="14">
        <f ca="1">IFERROR(__xludf.DUMMYFUNCTION("""COMPUTED_VALUE"""),4000)</f>
        <v>4000</v>
      </c>
      <c r="K143" s="14" t="str">
        <f ca="1">IFERROR(__xludf.DUMMYFUNCTION("""COMPUTED_VALUE"""),"Roskilde")</f>
        <v>Roskilde</v>
      </c>
      <c r="L143" s="14" t="str">
        <f ca="1">IFERROR(__xludf.DUMMYFUNCTION("""COMPUTED_VALUE"""),"Roskilde")</f>
        <v>Roskilde</v>
      </c>
      <c r="M143" s="14" t="str">
        <f ca="1">IFERROR(__xludf.DUMMYFUNCTION("""COMPUTED_VALUE"""),"Østsjælland")</f>
        <v>Østsjælland</v>
      </c>
      <c r="N143" s="14" t="str">
        <f ca="1">IFERROR(__xludf.DUMMYFUNCTION("""COMPUTED_VALUE"""),"Sjælland")</f>
        <v>Sjælland</v>
      </c>
      <c r="O143" s="14">
        <f ca="1">IFERROR(__xludf.DUMMYFUNCTION("""COMPUTED_VALUE"""),33130010)</f>
        <v>33130010</v>
      </c>
      <c r="P143" s="14" t="str">
        <f ca="1">IFERROR(__xludf.DUMMYFUNCTION("""COMPUTED_VALUE"""),"bolig@hovmoeller.dk")</f>
        <v>bolig@hovmoeller.dk</v>
      </c>
      <c r="Q143" s="15" t="str">
        <f ca="1">IFERROR(__xludf.DUMMYFUNCTION("""COMPUTED_VALUE"""),"https://www.boliga.dk/maegler/25623")</f>
        <v>https://www.boliga.dk/maegler/25623</v>
      </c>
      <c r="R143" s="14" t="str">
        <f ca="1">IFERROR(__xludf.DUMMYFUNCTION("""COMPUTED_VALUE"""),"-")</f>
        <v>-</v>
      </c>
      <c r="S143" s="14" t="str">
        <f ca="1">IFERROR(__xludf.DUMMYFUNCTION("""COMPUTED_VALUE"""),"-")</f>
        <v>-</v>
      </c>
      <c r="T143" s="14" t="str">
        <f ca="1">IFERROR(__xludf.DUMMYFUNCTION("""COMPUTED_VALUE"""),"-")</f>
        <v>-</v>
      </c>
      <c r="U143" s="14" t="str">
        <f ca="1">IFERROR(__xludf.DUMMYFUNCTION("""COMPUTED_VALUE"""),"-")</f>
        <v>-</v>
      </c>
      <c r="V143" s="14" t="str">
        <f ca="1">IFERROR(__xludf.DUMMYFUNCTION("""COMPUTED_VALUE"""),"-")</f>
        <v>-</v>
      </c>
      <c r="W143" s="14">
        <f ca="1">IFERROR(__xludf.DUMMYFUNCTION("""COMPUTED_VALUE"""),1)</f>
        <v>1</v>
      </c>
      <c r="X143" s="14">
        <f ca="1">IFERROR(__xludf.DUMMYFUNCTION("""COMPUTED_VALUE"""),4000)</f>
        <v>4000</v>
      </c>
      <c r="Y143" s="14" t="str">
        <f ca="1">IFERROR(__xludf.DUMMYFUNCTION("""COMPUTED_VALUE"""),"ja")</f>
        <v>ja</v>
      </c>
      <c r="Z143" s="14"/>
      <c r="AA143" s="14"/>
      <c r="AB143" s="14" t="str">
        <f ca="1">IFERROR(__xludf.DUMMYFUNCTION("""COMPUTED_VALUE"""),"x")</f>
        <v>x</v>
      </c>
      <c r="AC143" s="14" t="str">
        <f ca="1">IFERROR(__xludf.DUMMYFUNCTION("""COMPUTED_VALUE"""),"x")</f>
        <v>x</v>
      </c>
    </row>
    <row r="144" spans="1:29" ht="12.5" x14ac:dyDescent="0.25">
      <c r="A144" s="14" t="str">
        <f ca="1">IFERROR(__xludf.DUMMYFUNCTION("""COMPUTED_VALUE"""),"Camilla")</f>
        <v>Camilla</v>
      </c>
      <c r="B144" s="14" t="str">
        <f ca="1">IFERROR(__xludf.DUMMYFUNCTION("""COMPUTED_VALUE"""),"Land &amp; Bolig Ejendomsmægler")</f>
        <v>Land &amp; Bolig Ejendomsmægler</v>
      </c>
      <c r="C144" s="14">
        <f ca="1">IFERROR(__xludf.DUMMYFUNCTION("""COMPUTED_VALUE"""),36437758)</f>
        <v>36437758</v>
      </c>
      <c r="D144" s="14" t="str">
        <f ca="1">IFERROR(__xludf.DUMMYFUNCTION("""COMPUTED_VALUE"""),"MG-SJ: 3.499,-")</f>
        <v>MG-SJ: 3.499,-</v>
      </c>
      <c r="E144" s="14">
        <f ca="1">IFERROR(__xludf.DUMMYFUNCTION("""COMPUTED_VALUE"""),1202)</f>
        <v>1202</v>
      </c>
      <c r="F144" s="14" t="str">
        <f ca="1">IFERROR(__xludf.DUMMYFUNCTION("""COMPUTED_VALUE"""),"Anne Klee")</f>
        <v>Anne Klee</v>
      </c>
      <c r="G144" s="14" t="str">
        <f ca="1">IFERROR(__xludf.DUMMYFUNCTION("""COMPUTED_VALUE"""),"anne@landogbolig.dk ")</f>
        <v xml:space="preserve">anne@landogbolig.dk </v>
      </c>
      <c r="H144" s="14">
        <f ca="1">IFERROR(__xludf.DUMMYFUNCTION("""COMPUTED_VALUE"""),21221082)</f>
        <v>21221082</v>
      </c>
      <c r="I144" s="14" t="str">
        <f ca="1">IFERROR(__xludf.DUMMYFUNCTION("""COMPUTED_VALUE"""),"Kastrupvej 12")</f>
        <v>Kastrupvej 12</v>
      </c>
      <c r="J144" s="14">
        <f ca="1">IFERROR(__xludf.DUMMYFUNCTION("""COMPUTED_VALUE"""),4100)</f>
        <v>4100</v>
      </c>
      <c r="K144" s="14" t="str">
        <f ca="1">IFERROR(__xludf.DUMMYFUNCTION("""COMPUTED_VALUE"""),"Ringsted")</f>
        <v>Ringsted</v>
      </c>
      <c r="L144" s="14" t="str">
        <f ca="1">IFERROR(__xludf.DUMMYFUNCTION("""COMPUTED_VALUE"""),"Ringsted")</f>
        <v>Ringsted</v>
      </c>
      <c r="M144" s="14" t="str">
        <f ca="1">IFERROR(__xludf.DUMMYFUNCTION("""COMPUTED_VALUE"""),"Vest- og Sydsjælland")</f>
        <v>Vest- og Sydsjælland</v>
      </c>
      <c r="N144" s="14" t="str">
        <f ca="1">IFERROR(__xludf.DUMMYFUNCTION("""COMPUTED_VALUE"""),"Sjælland")</f>
        <v>Sjælland</v>
      </c>
      <c r="O144" s="14">
        <f ca="1">IFERROR(__xludf.DUMMYFUNCTION("""COMPUTED_VALUE"""),21221082)</f>
        <v>21221082</v>
      </c>
      <c r="P144" s="14" t="str">
        <f ca="1">IFERROR(__xludf.DUMMYFUNCTION("""COMPUTED_VALUE"""),"hej@landogbolig.dk")</f>
        <v>hej@landogbolig.dk</v>
      </c>
      <c r="Q144" s="15" t="str">
        <f ca="1">IFERROR(__xludf.DUMMYFUNCTION("""COMPUTED_VALUE"""),"https://www.boliga.dk/maegler/22387")</f>
        <v>https://www.boliga.dk/maegler/22387</v>
      </c>
      <c r="R144" s="14" t="str">
        <f ca="1">IFERROR(__xludf.DUMMYFUNCTION("""COMPUTED_VALUE"""),"-")</f>
        <v>-</v>
      </c>
      <c r="S144" s="14" t="str">
        <f ca="1">IFERROR(__xludf.DUMMYFUNCTION("""COMPUTED_VALUE"""),"-")</f>
        <v>-</v>
      </c>
      <c r="T144" s="14" t="str">
        <f ca="1">IFERROR(__xludf.DUMMYFUNCTION("""COMPUTED_VALUE"""),"-")</f>
        <v>-</v>
      </c>
      <c r="U144" s="14">
        <f ca="1">IFERROR(__xludf.DUMMYFUNCTION("""COMPUTED_VALUE"""),5)</f>
        <v>5</v>
      </c>
      <c r="V144" s="14" t="str">
        <f ca="1">IFERROR(__xludf.DUMMYFUNCTION("""COMPUTED_VALUE"""),"4243, 4370, 4100, 4173, 4295")</f>
        <v>4243, 4370, 4100, 4173, 4295</v>
      </c>
      <c r="W144" s="14">
        <f ca="1">IFERROR(__xludf.DUMMYFUNCTION("""COMPUTED_VALUE"""),3)</f>
        <v>3</v>
      </c>
      <c r="X144" s="14" t="str">
        <f ca="1">IFERROR(__xludf.DUMMYFUNCTION("""COMPUTED_VALUE"""),"4100, 3480, 4171")</f>
        <v>4100, 3480, 4171</v>
      </c>
      <c r="Y144" s="14" t="str">
        <f ca="1">IFERROR(__xludf.DUMMYFUNCTION("""COMPUTED_VALUE"""),"ja")</f>
        <v>ja</v>
      </c>
      <c r="Z144" s="14"/>
      <c r="AA144" s="14"/>
      <c r="AB144" s="14" t="str">
        <f ca="1">IFERROR(__xludf.DUMMYFUNCTION("""COMPUTED_VALUE"""),"x")</f>
        <v>x</v>
      </c>
      <c r="AC144" s="14" t="str">
        <f ca="1">IFERROR(__xludf.DUMMYFUNCTION("""COMPUTED_VALUE"""),"x")</f>
        <v>x</v>
      </c>
    </row>
    <row r="145" spans="1:29" ht="12.5" x14ac:dyDescent="0.25">
      <c r="A145" s="14" t="str">
        <f ca="1">IFERROR(__xludf.DUMMYFUNCTION("""COMPUTED_VALUE"""),"Camilla")</f>
        <v>Camilla</v>
      </c>
      <c r="B145" s="14" t="str">
        <f ca="1">IFERROR(__xludf.DUMMYFUNCTION("""COMPUTED_VALUE"""),"Min Bolighandel Holbæk")</f>
        <v>Min Bolighandel Holbæk</v>
      </c>
      <c r="C145" s="14">
        <f ca="1">IFERROR(__xludf.DUMMYFUNCTION("""COMPUTED_VALUE"""),40423303)</f>
        <v>40423303</v>
      </c>
      <c r="D145" s="14" t="str">
        <f ca="1">IFERROR(__xludf.DUMMYFUNCTION("""COMPUTED_VALUE"""),"MG-SJ: 3.499,-")</f>
        <v>MG-SJ: 3.499,-</v>
      </c>
      <c r="E145" s="14">
        <f ca="1">IFERROR(__xludf.DUMMYFUNCTION("""COMPUTED_VALUE"""),1202)</f>
        <v>1202</v>
      </c>
      <c r="F145" s="14" t="str">
        <f ca="1">IFERROR(__xludf.DUMMYFUNCTION("""COMPUTED_VALUE"""),"Kenneth Frost")</f>
        <v>Kenneth Frost</v>
      </c>
      <c r="G145" s="14" t="str">
        <f ca="1">IFERROR(__xludf.DUMMYFUNCTION("""COMPUTED_VALUE"""),"frost@minbolighandel.dk")</f>
        <v>frost@minbolighandel.dk</v>
      </c>
      <c r="H145" s="14">
        <f ca="1">IFERROR(__xludf.DUMMYFUNCTION("""COMPUTED_VALUE"""),71904495)</f>
        <v>71904495</v>
      </c>
      <c r="I145" s="14" t="str">
        <f ca="1">IFERROR(__xludf.DUMMYFUNCTION("""COMPUTED_VALUE"""),"Koblet 14")</f>
        <v>Koblet 14</v>
      </c>
      <c r="J145" s="14">
        <f ca="1">IFERROR(__xludf.DUMMYFUNCTION("""COMPUTED_VALUE"""),4300)</f>
        <v>4300</v>
      </c>
      <c r="K145" s="14" t="str">
        <f ca="1">IFERROR(__xludf.DUMMYFUNCTION("""COMPUTED_VALUE"""),"Holbæk")</f>
        <v>Holbæk</v>
      </c>
      <c r="L145" s="14" t="str">
        <f ca="1">IFERROR(__xludf.DUMMYFUNCTION("""COMPUTED_VALUE"""),"Holbæk")</f>
        <v>Holbæk</v>
      </c>
      <c r="M145" s="14" t="str">
        <f ca="1">IFERROR(__xludf.DUMMYFUNCTION("""COMPUTED_VALUE"""),"Vest- og Sydsjælland")</f>
        <v>Vest- og Sydsjælland</v>
      </c>
      <c r="N145" s="14" t="str">
        <f ca="1">IFERROR(__xludf.DUMMYFUNCTION("""COMPUTED_VALUE"""),"Sjælland")</f>
        <v>Sjælland</v>
      </c>
      <c r="O145" s="14">
        <f ca="1">IFERROR(__xludf.DUMMYFUNCTION("""COMPUTED_VALUE"""),71904495)</f>
        <v>71904495</v>
      </c>
      <c r="P145" s="14" t="str">
        <f ca="1">IFERROR(__xludf.DUMMYFUNCTION("""COMPUTED_VALUE"""),"frost@minbolighandel.dk")</f>
        <v>frost@minbolighandel.dk</v>
      </c>
      <c r="Q145" s="15" t="str">
        <f ca="1">IFERROR(__xludf.DUMMYFUNCTION("""COMPUTED_VALUE"""),"https://www.boliga.dk/maegler/25808")</f>
        <v>https://www.boliga.dk/maegler/25808</v>
      </c>
      <c r="R145" s="14" t="str">
        <f ca="1">IFERROR(__xludf.DUMMYFUNCTION("""COMPUTED_VALUE"""),"-")</f>
        <v>-</v>
      </c>
      <c r="S145" s="14" t="str">
        <f ca="1">IFERROR(__xludf.DUMMYFUNCTION("""COMPUTED_VALUE"""),"-")</f>
        <v>-</v>
      </c>
      <c r="T145" s="14" t="str">
        <f ca="1">IFERROR(__xludf.DUMMYFUNCTION("""COMPUTED_VALUE"""),"-")</f>
        <v>-</v>
      </c>
      <c r="U145" s="14">
        <f ca="1">IFERROR(__xludf.DUMMYFUNCTION("""COMPUTED_VALUE"""),1)</f>
        <v>1</v>
      </c>
      <c r="V145" s="14">
        <f ca="1">IFERROR(__xludf.DUMMYFUNCTION("""COMPUTED_VALUE"""),4440)</f>
        <v>4440</v>
      </c>
      <c r="W145" s="14">
        <f ca="1">IFERROR(__xludf.DUMMYFUNCTION("""COMPUTED_VALUE"""),10)</f>
        <v>10</v>
      </c>
      <c r="X145" s="14" t="str">
        <f ca="1">IFERROR(__xludf.DUMMYFUNCTION("""COMPUTED_VALUE"""),"4300, 4532, 4520")</f>
        <v>4300, 4532, 4520</v>
      </c>
      <c r="Y145" s="14" t="str">
        <f ca="1">IFERROR(__xludf.DUMMYFUNCTION("""COMPUTED_VALUE"""),"ja")</f>
        <v>ja</v>
      </c>
      <c r="Z145" s="14"/>
      <c r="AA145" s="14"/>
      <c r="AB145" s="14" t="str">
        <f ca="1">IFERROR(__xludf.DUMMYFUNCTION("""COMPUTED_VALUE"""),"x")</f>
        <v>x</v>
      </c>
      <c r="AC145" s="14" t="str">
        <f ca="1">IFERROR(__xludf.DUMMYFUNCTION("""COMPUTED_VALUE"""),"x")</f>
        <v>x</v>
      </c>
    </row>
    <row r="146" spans="1:29" ht="12.5" x14ac:dyDescent="0.25">
      <c r="A146" s="14" t="str">
        <f ca="1">IFERROR(__xludf.DUMMYFUNCTION("""COMPUTED_VALUE"""),"Camilla")</f>
        <v>Camilla</v>
      </c>
      <c r="B146" s="14" t="str">
        <f ca="1">IFERROR(__xludf.DUMMYFUNCTION("""COMPUTED_VALUE"""),"Min Bolighandel Fjordlandet")</f>
        <v>Min Bolighandel Fjordlandet</v>
      </c>
      <c r="C146" s="14">
        <f ca="1">IFERROR(__xludf.DUMMYFUNCTION("""COMPUTED_VALUE"""),39979063)</f>
        <v>39979063</v>
      </c>
      <c r="D146" s="14" t="str">
        <f ca="1">IFERROR(__xludf.DUMMYFUNCTION("""COMPUTED_VALUE"""),"MG-SJ: 3.499,-")</f>
        <v>MG-SJ: 3.499,-</v>
      </c>
      <c r="E146" s="14">
        <f ca="1">IFERROR(__xludf.DUMMYFUNCTION("""COMPUTED_VALUE"""),1202)</f>
        <v>1202</v>
      </c>
      <c r="F146" s="14" t="str">
        <f ca="1">IFERROR(__xludf.DUMMYFUNCTION("""COMPUTED_VALUE"""),"Per Hermansen")</f>
        <v>Per Hermansen</v>
      </c>
      <c r="G146" s="14" t="str">
        <f ca="1">IFERROR(__xludf.DUMMYFUNCTION("""COMPUTED_VALUE"""),"per@minbolighandel.dk")</f>
        <v>per@minbolighandel.dk</v>
      </c>
      <c r="H146" s="14">
        <f ca="1">IFERROR(__xludf.DUMMYFUNCTION("""COMPUTED_VALUE"""),22151888)</f>
        <v>22151888</v>
      </c>
      <c r="I146" s="14" t="str">
        <f ca="1">IFERROR(__xludf.DUMMYFUNCTION("""COMPUTED_VALUE"""),"Østergade 11")</f>
        <v>Østergade 11</v>
      </c>
      <c r="J146" s="14">
        <f ca="1">IFERROR(__xludf.DUMMYFUNCTION("""COMPUTED_VALUE"""),4581)</f>
        <v>4581</v>
      </c>
      <c r="K146" s="14" t="str">
        <f ca="1">IFERROR(__xludf.DUMMYFUNCTION("""COMPUTED_VALUE"""),"Rørvig")</f>
        <v>Rørvig</v>
      </c>
      <c r="L146" s="14" t="str">
        <f ca="1">IFERROR(__xludf.DUMMYFUNCTION("""COMPUTED_VALUE"""),"Odsherred")</f>
        <v>Odsherred</v>
      </c>
      <c r="M146" s="14" t="str">
        <f ca="1">IFERROR(__xludf.DUMMYFUNCTION("""COMPUTED_VALUE"""),"Vest- og Sydsjælland")</f>
        <v>Vest- og Sydsjælland</v>
      </c>
      <c r="N146" s="14" t="str">
        <f ca="1">IFERROR(__xludf.DUMMYFUNCTION("""COMPUTED_VALUE"""),"Sjælland")</f>
        <v>Sjælland</v>
      </c>
      <c r="O146" s="14">
        <f ca="1">IFERROR(__xludf.DUMMYFUNCTION("""COMPUTED_VALUE"""),22151888)</f>
        <v>22151888</v>
      </c>
      <c r="P146" s="14" t="str">
        <f ca="1">IFERROR(__xludf.DUMMYFUNCTION("""COMPUTED_VALUE"""),"per@minbolighandel.dk")</f>
        <v>per@minbolighandel.dk</v>
      </c>
      <c r="Q146" s="15" t="str">
        <f ca="1">IFERROR(__xludf.DUMMYFUNCTION("""COMPUTED_VALUE"""),"https://www.boliga.dk/maegler/25818")</f>
        <v>https://www.boliga.dk/maegler/25818</v>
      </c>
      <c r="R146" s="14" t="str">
        <f ca="1">IFERROR(__xludf.DUMMYFUNCTION("""COMPUTED_VALUE"""),"-")</f>
        <v>-</v>
      </c>
      <c r="S146" s="14" t="str">
        <f ca="1">IFERROR(__xludf.DUMMYFUNCTION("""COMPUTED_VALUE"""),"-")</f>
        <v>-</v>
      </c>
      <c r="T146" s="14" t="str">
        <f ca="1">IFERROR(__xludf.DUMMYFUNCTION("""COMPUTED_VALUE"""),"-")</f>
        <v>-</v>
      </c>
      <c r="U146" s="14">
        <f ca="1">IFERROR(__xludf.DUMMYFUNCTION("""COMPUTED_VALUE"""),6)</f>
        <v>6</v>
      </c>
      <c r="V146" s="14" t="str">
        <f ca="1">IFERROR(__xludf.DUMMYFUNCTION("""COMPUTED_VALUE"""),"4070, 4592, 4300")</f>
        <v>4070, 4592, 4300</v>
      </c>
      <c r="W146" s="14">
        <f ca="1">IFERROR(__xludf.DUMMYFUNCTION("""COMPUTED_VALUE"""),7)</f>
        <v>7</v>
      </c>
      <c r="X146" s="14" t="str">
        <f ca="1">IFERROR(__xludf.DUMMYFUNCTION("""COMPUTED_VALUE"""),"4050, 4592, 4000, 4070")</f>
        <v>4050, 4592, 4000, 4070</v>
      </c>
      <c r="Y146" s="14" t="str">
        <f ca="1">IFERROR(__xludf.DUMMYFUNCTION("""COMPUTED_VALUE"""),"ja")</f>
        <v>ja</v>
      </c>
      <c r="Z146" s="14"/>
      <c r="AA146" s="14"/>
      <c r="AB146" s="14" t="str">
        <f ca="1">IFERROR(__xludf.DUMMYFUNCTION("""COMPUTED_VALUE"""),"x")</f>
        <v>x</v>
      </c>
      <c r="AC146" s="14" t="str">
        <f ca="1">IFERROR(__xludf.DUMMYFUNCTION("""COMPUTED_VALUE"""),"x")</f>
        <v>x</v>
      </c>
    </row>
    <row r="147" spans="1:29" ht="12.5" x14ac:dyDescent="0.25">
      <c r="A147" s="14" t="str">
        <f ca="1">IFERROR(__xludf.DUMMYFUNCTION("""COMPUTED_VALUE"""),"Camilla")</f>
        <v>Camilla</v>
      </c>
      <c r="B147" s="14" t="str">
        <f ca="1">IFERROR(__xludf.DUMMYFUNCTION("""COMPUTED_VALUE"""),"Multibolig Sorø")</f>
        <v>Multibolig Sorø</v>
      </c>
      <c r="C147" s="14">
        <f ca="1">IFERROR(__xludf.DUMMYFUNCTION("""COMPUTED_VALUE"""),37835846)</f>
        <v>37835846</v>
      </c>
      <c r="D147" s="14" t="str">
        <f ca="1">IFERROR(__xludf.DUMMYFUNCTION("""COMPUTED_VALUE"""),"MG-SJ: 3.499,-")</f>
        <v>MG-SJ: 3.499,-</v>
      </c>
      <c r="E147" s="14">
        <f ca="1">IFERROR(__xludf.DUMMYFUNCTION("""COMPUTED_VALUE"""),1202)</f>
        <v>1202</v>
      </c>
      <c r="F147" s="14" t="str">
        <f ca="1">IFERROR(__xludf.DUMMYFUNCTION("""COMPUTED_VALUE"""),"Claus Dueholm")</f>
        <v>Claus Dueholm</v>
      </c>
      <c r="G147" s="14" t="str">
        <f ca="1">IFERROR(__xludf.DUMMYFUNCTION("""COMPUTED_VALUE"""),"info@multibolig.dk")</f>
        <v>info@multibolig.dk</v>
      </c>
      <c r="H147" s="14">
        <f ca="1">IFERROR(__xludf.DUMMYFUNCTION("""COMPUTED_VALUE"""),40922521)</f>
        <v>40922521</v>
      </c>
      <c r="I147" s="14" t="str">
        <f ca="1">IFERROR(__xludf.DUMMYFUNCTION("""COMPUTED_VALUE"""),"Smedevej 2")</f>
        <v>Smedevej 2</v>
      </c>
      <c r="J147" s="14">
        <f ca="1">IFERROR(__xludf.DUMMYFUNCTION("""COMPUTED_VALUE"""),4180)</f>
        <v>4180</v>
      </c>
      <c r="K147" s="14" t="str">
        <f ca="1">IFERROR(__xludf.DUMMYFUNCTION("""COMPUTED_VALUE"""),"Sorø")</f>
        <v>Sorø</v>
      </c>
      <c r="L147" s="14" t="str">
        <f ca="1">IFERROR(__xludf.DUMMYFUNCTION("""COMPUTED_VALUE"""),"Sorø")</f>
        <v>Sorø</v>
      </c>
      <c r="M147" s="14" t="str">
        <f ca="1">IFERROR(__xludf.DUMMYFUNCTION("""COMPUTED_VALUE"""),"Vest- og Sydsjælland")</f>
        <v>Vest- og Sydsjælland</v>
      </c>
      <c r="N147" s="14" t="str">
        <f ca="1">IFERROR(__xludf.DUMMYFUNCTION("""COMPUTED_VALUE"""),"Sjælland")</f>
        <v>Sjælland</v>
      </c>
      <c r="O147" s="14">
        <f ca="1">IFERROR(__xludf.DUMMYFUNCTION("""COMPUTED_VALUE"""),40922521)</f>
        <v>40922521</v>
      </c>
      <c r="P147" s="14" t="str">
        <f ca="1">IFERROR(__xludf.DUMMYFUNCTION("""COMPUTED_VALUE"""),"info@multibolig.dk")</f>
        <v>info@multibolig.dk</v>
      </c>
      <c r="Q147" s="15" t="str">
        <f ca="1">IFERROR(__xludf.DUMMYFUNCTION("""COMPUTED_VALUE"""),"https://www.boliga.dk/maegler/25225")</f>
        <v>https://www.boliga.dk/maegler/25225</v>
      </c>
      <c r="R147" s="14" t="str">
        <f ca="1">IFERROR(__xludf.DUMMYFUNCTION("""COMPUTED_VALUE"""),"-")</f>
        <v>-</v>
      </c>
      <c r="S147" s="14" t="str">
        <f ca="1">IFERROR(__xludf.DUMMYFUNCTION("""COMPUTED_VALUE"""),"-")</f>
        <v>-</v>
      </c>
      <c r="T147" s="14" t="str">
        <f ca="1">IFERROR(__xludf.DUMMYFUNCTION("""COMPUTED_VALUE"""),"-")</f>
        <v>-</v>
      </c>
      <c r="U147" s="14">
        <f ca="1">IFERROR(__xludf.DUMMYFUNCTION("""COMPUTED_VALUE"""),3)</f>
        <v>3</v>
      </c>
      <c r="V147" s="14">
        <f ca="1">IFERROR(__xludf.DUMMYFUNCTION("""COMPUTED_VALUE"""),8800)</f>
        <v>8800</v>
      </c>
      <c r="W147" s="14" t="str">
        <f ca="1">IFERROR(__xludf.DUMMYFUNCTION("""COMPUTED_VALUE"""),"-")</f>
        <v>-</v>
      </c>
      <c r="X147" s="14" t="str">
        <f ca="1">IFERROR(__xludf.DUMMYFUNCTION("""COMPUTED_VALUE"""),"-")</f>
        <v>-</v>
      </c>
      <c r="Y147" s="14" t="str">
        <f ca="1">IFERROR(__xludf.DUMMYFUNCTION("""COMPUTED_VALUE"""),"ja")</f>
        <v>ja</v>
      </c>
      <c r="Z147" s="14"/>
      <c r="AA147" s="14"/>
      <c r="AB147" s="14" t="str">
        <f ca="1">IFERROR(__xludf.DUMMYFUNCTION("""COMPUTED_VALUE"""),"x")</f>
        <v>x</v>
      </c>
      <c r="AC147" s="14" t="str">
        <f ca="1">IFERROR(__xludf.DUMMYFUNCTION("""COMPUTED_VALUE"""),"x")</f>
        <v>x</v>
      </c>
    </row>
    <row r="148" spans="1:29" ht="12.5" x14ac:dyDescent="0.25">
      <c r="A148" s="14"/>
      <c r="B148" s="14" t="str">
        <f ca="1">IFERROR(__xludf.DUMMYFUNCTION("""COMPUTED_VALUE"""),"Multibolig Stubbekøbing")</f>
        <v>Multibolig Stubbekøbing</v>
      </c>
      <c r="C148" s="14">
        <f ca="1">IFERROR(__xludf.DUMMYFUNCTION("""COMPUTED_VALUE"""),37835846)</f>
        <v>37835846</v>
      </c>
      <c r="D148" s="14" t="str">
        <f ca="1">IFERROR(__xludf.DUMMYFUNCTION("""COMPUTED_VALUE"""),"MG-SJ: 3.499,-")</f>
        <v>MG-SJ: 3.499,-</v>
      </c>
      <c r="E148" s="14">
        <f ca="1">IFERROR(__xludf.DUMMYFUNCTION("""COMPUTED_VALUE"""),1202)</f>
        <v>1202</v>
      </c>
      <c r="F148" s="14" t="str">
        <f ca="1">IFERROR(__xludf.DUMMYFUNCTION("""COMPUTED_VALUE"""),"Claus Dueholm")</f>
        <v>Claus Dueholm</v>
      </c>
      <c r="G148" s="14" t="str">
        <f ca="1">IFERROR(__xludf.DUMMYFUNCTION("""COMPUTED_VALUE"""),"info@multibolig.dk")</f>
        <v>info@multibolig.dk</v>
      </c>
      <c r="H148" s="14">
        <f ca="1">IFERROR(__xludf.DUMMYFUNCTION("""COMPUTED_VALUE"""),40922521)</f>
        <v>40922521</v>
      </c>
      <c r="I148" s="14" t="str">
        <f ca="1">IFERROR(__xludf.DUMMYFUNCTION("""COMPUTED_VALUE"""),"Smedevej 2")</f>
        <v>Smedevej 2</v>
      </c>
      <c r="J148" s="14">
        <f ca="1">IFERROR(__xludf.DUMMYFUNCTION("""COMPUTED_VALUE"""),4180)</f>
        <v>4180</v>
      </c>
      <c r="K148" s="14" t="str">
        <f ca="1">IFERROR(__xludf.DUMMYFUNCTION("""COMPUTED_VALUE"""),"Sorø")</f>
        <v>Sorø</v>
      </c>
      <c r="L148" s="14" t="str">
        <f ca="1">IFERROR(__xludf.DUMMYFUNCTION("""COMPUTED_VALUE"""),"Sorø")</f>
        <v>Sorø</v>
      </c>
      <c r="M148" s="14" t="str">
        <f ca="1">IFERROR(__xludf.DUMMYFUNCTION("""COMPUTED_VALUE"""),"Vest- og Sydsjælland")</f>
        <v>Vest- og Sydsjælland</v>
      </c>
      <c r="N148" s="14" t="str">
        <f ca="1">IFERROR(__xludf.DUMMYFUNCTION("""COMPUTED_VALUE"""),"Sjælland")</f>
        <v>Sjælland</v>
      </c>
      <c r="O148" s="14">
        <f ca="1">IFERROR(__xludf.DUMMYFUNCTION("""COMPUTED_VALUE"""),40922521)</f>
        <v>40922521</v>
      </c>
      <c r="P148" s="14" t="str">
        <f ca="1">IFERROR(__xludf.DUMMYFUNCTION("""COMPUTED_VALUE"""),"info@multibolig.dk")</f>
        <v>info@multibolig.dk</v>
      </c>
      <c r="Q148" s="15" t="str">
        <f ca="1">IFERROR(__xludf.DUMMYFUNCTION("""COMPUTED_VALUE"""),"https://www.boliga.dk/maegler/25225")</f>
        <v>https://www.boliga.dk/maegler/25225</v>
      </c>
      <c r="R148" s="14" t="str">
        <f ca="1">IFERROR(__xludf.DUMMYFUNCTION("""COMPUTED_VALUE"""),"-")</f>
        <v>-</v>
      </c>
      <c r="S148" s="14" t="str">
        <f ca="1">IFERROR(__xludf.DUMMYFUNCTION("""COMPUTED_VALUE"""),"-")</f>
        <v>-</v>
      </c>
      <c r="T148" s="14" t="str">
        <f ca="1">IFERROR(__xludf.DUMMYFUNCTION("""COMPUTED_VALUE"""),"-")</f>
        <v>-</v>
      </c>
      <c r="U148" s="14">
        <f ca="1">IFERROR(__xludf.DUMMYFUNCTION("""COMPUTED_VALUE"""),3)</f>
        <v>3</v>
      </c>
      <c r="V148" s="14">
        <f ca="1">IFERROR(__xludf.DUMMYFUNCTION("""COMPUTED_VALUE"""),8800)</f>
        <v>8800</v>
      </c>
      <c r="W148" s="14" t="str">
        <f ca="1">IFERROR(__xludf.DUMMYFUNCTION("""COMPUTED_VALUE"""),"-")</f>
        <v>-</v>
      </c>
      <c r="X148" s="14" t="str">
        <f ca="1">IFERROR(__xludf.DUMMYFUNCTION("""COMPUTED_VALUE"""),"-")</f>
        <v>-</v>
      </c>
      <c r="Y148" s="14" t="str">
        <f ca="1">IFERROR(__xludf.DUMMYFUNCTION("""COMPUTED_VALUE"""),"ja")</f>
        <v>ja</v>
      </c>
      <c r="Z148" s="14"/>
      <c r="AA148" s="14"/>
      <c r="AB148" s="14" t="str">
        <f ca="1">IFERROR(__xludf.DUMMYFUNCTION("""COMPUTED_VALUE"""),"x")</f>
        <v>x</v>
      </c>
      <c r="AC148" s="14" t="str">
        <f ca="1">IFERROR(__xludf.DUMMYFUNCTION("""COMPUTED_VALUE"""),"x")</f>
        <v>x</v>
      </c>
    </row>
    <row r="149" spans="1:29" ht="12.5" x14ac:dyDescent="0.25">
      <c r="A149" s="14" t="str">
        <f ca="1">IFERROR(__xludf.DUMMYFUNCTION("""COMPUTED_VALUE"""),"Camilla")</f>
        <v>Camilla</v>
      </c>
      <c r="B149" s="14" t="str">
        <f ca="1">IFERROR(__xludf.DUMMYFUNCTION("""COMPUTED_VALUE"""),"NEXT LIVING RINGSTED Dysted og Fobian")</f>
        <v>NEXT LIVING RINGSTED Dysted og Fobian</v>
      </c>
      <c r="C149" s="14">
        <f ca="1">IFERROR(__xludf.DUMMYFUNCTION("""COMPUTED_VALUE"""),38957465)</f>
        <v>38957465</v>
      </c>
      <c r="D149" s="14" t="str">
        <f ca="1">IFERROR(__xludf.DUMMYFUNCTION("""COMPUTED_VALUE"""),"MG-SJ: 3.499,-")</f>
        <v>MG-SJ: 3.499,-</v>
      </c>
      <c r="E149" s="14">
        <f ca="1">IFERROR(__xludf.DUMMYFUNCTION("""COMPUTED_VALUE"""),1202)</f>
        <v>1202</v>
      </c>
      <c r="F149" s="14" t="str">
        <f ca="1">IFERROR(__xludf.DUMMYFUNCTION("""COMPUTED_VALUE"""),"Camilla Fobian")</f>
        <v>Camilla Fobian</v>
      </c>
      <c r="G149" s="14" t="str">
        <f ca="1">IFERROR(__xludf.DUMMYFUNCTION("""COMPUTED_VALUE"""),"cfm@nextliving.dk")</f>
        <v>cfm@nextliving.dk</v>
      </c>
      <c r="H149" s="14">
        <f ca="1">IFERROR(__xludf.DUMMYFUNCTION("""COMPUTED_VALUE"""),70605002)</f>
        <v>70605002</v>
      </c>
      <c r="I149" s="14" t="str">
        <f ca="1">IFERROR(__xludf.DUMMYFUNCTION("""COMPUTED_VALUE"""),"Tinggade 1")</f>
        <v>Tinggade 1</v>
      </c>
      <c r="J149" s="14">
        <f ca="1">IFERROR(__xludf.DUMMYFUNCTION("""COMPUTED_VALUE"""),4100)</f>
        <v>4100</v>
      </c>
      <c r="K149" s="14" t="str">
        <f ca="1">IFERROR(__xludf.DUMMYFUNCTION("""COMPUTED_VALUE"""),"Ringsted")</f>
        <v>Ringsted</v>
      </c>
      <c r="L149" s="14" t="str">
        <f ca="1">IFERROR(__xludf.DUMMYFUNCTION("""COMPUTED_VALUE"""),"Ringsted")</f>
        <v>Ringsted</v>
      </c>
      <c r="M149" s="14" t="str">
        <f ca="1">IFERROR(__xludf.DUMMYFUNCTION("""COMPUTED_VALUE"""),"Vest- og Sydsjælland")</f>
        <v>Vest- og Sydsjælland</v>
      </c>
      <c r="N149" s="14" t="str">
        <f ca="1">IFERROR(__xludf.DUMMYFUNCTION("""COMPUTED_VALUE"""),"Sjælland")</f>
        <v>Sjælland</v>
      </c>
      <c r="O149" s="14">
        <f ca="1">IFERROR(__xludf.DUMMYFUNCTION("""COMPUTED_VALUE"""),70605002)</f>
        <v>70605002</v>
      </c>
      <c r="P149" s="14" t="str">
        <f ca="1">IFERROR(__xludf.DUMMYFUNCTION("""COMPUTED_VALUE"""),"med@nextliving.dk")</f>
        <v>med@nextliving.dk</v>
      </c>
      <c r="Q149" s="15" t="str">
        <f ca="1">IFERROR(__xludf.DUMMYFUNCTION("""COMPUTED_VALUE"""),"https://www.boliga.dk/maegler/26161")</f>
        <v>https://www.boliga.dk/maegler/26161</v>
      </c>
      <c r="R149" s="14" t="str">
        <f ca="1">IFERROR(__xludf.DUMMYFUNCTION("""COMPUTED_VALUE"""),"-")</f>
        <v>-</v>
      </c>
      <c r="S149" s="14" t="str">
        <f ca="1">IFERROR(__xludf.DUMMYFUNCTION("""COMPUTED_VALUE"""),"-")</f>
        <v>-</v>
      </c>
      <c r="T149" s="14" t="str">
        <f ca="1">IFERROR(__xludf.DUMMYFUNCTION("""COMPUTED_VALUE"""),"-")</f>
        <v>-</v>
      </c>
      <c r="U149" s="14">
        <f ca="1">IFERROR(__xludf.DUMMYFUNCTION("""COMPUTED_VALUE"""),16)</f>
        <v>16</v>
      </c>
      <c r="V149" s="14" t="str">
        <f ca="1">IFERROR(__xludf.DUMMYFUNCTION("""COMPUTED_VALUE"""),"4200, 4100, 4220, 4350, 9330, 4173, 4652, 9352")</f>
        <v>4200, 4100, 4220, 4350, 9330, 4173, 4652, 9352</v>
      </c>
      <c r="W149" s="14">
        <f ca="1">IFERROR(__xludf.DUMMYFUNCTION("""COMPUTED_VALUE"""),12)</f>
        <v>12</v>
      </c>
      <c r="X149" s="14" t="str">
        <f ca="1">IFERROR(__xludf.DUMMYFUNCTION("""COMPUTED_VALUE"""),"4200, 4100, 4370, 2690, 6830, 5953")</f>
        <v>4200, 4100, 4370, 2690, 6830, 5953</v>
      </c>
      <c r="Y149" s="14" t="str">
        <f ca="1">IFERROR(__xludf.DUMMYFUNCTION("""COMPUTED_VALUE"""),"ja")</f>
        <v>ja</v>
      </c>
      <c r="Z149" s="14"/>
      <c r="AA149" s="14"/>
      <c r="AB149" s="14" t="str">
        <f ca="1">IFERROR(__xludf.DUMMYFUNCTION("""COMPUTED_VALUE"""),"x")</f>
        <v>x</v>
      </c>
      <c r="AC149" s="14" t="str">
        <f ca="1">IFERROR(__xludf.DUMMYFUNCTION("""COMPUTED_VALUE"""),"x")</f>
        <v>x</v>
      </c>
    </row>
    <row r="150" spans="1:29" ht="12.5" x14ac:dyDescent="0.25">
      <c r="A150" s="14" t="str">
        <f ca="1">IFERROR(__xludf.DUMMYFUNCTION("""COMPUTED_VALUE"""),"Camilla")</f>
        <v>Camilla</v>
      </c>
      <c r="B150" s="14" t="str">
        <f ca="1">IFERROR(__xludf.DUMMYFUNCTION("""COMPUTED_VALUE"""),"Nordbo")</f>
        <v>Nordbo</v>
      </c>
      <c r="C150" s="14"/>
      <c r="D150" s="14" t="str">
        <f ca="1">IFERROR(__xludf.DUMMYFUNCTION("""COMPUTED_VALUE"""),"MG-SJ: 3.499,-")</f>
        <v>MG-SJ: 3.499,-</v>
      </c>
      <c r="E150" s="14">
        <f ca="1">IFERROR(__xludf.DUMMYFUNCTION("""COMPUTED_VALUE"""),1202)</f>
        <v>1202</v>
      </c>
      <c r="F150" s="14" t="str">
        <f ca="1">IFERROR(__xludf.DUMMYFUNCTION("""COMPUTED_VALUE"""),"Carsten Nordbo")</f>
        <v>Carsten Nordbo</v>
      </c>
      <c r="G150" s="14" t="str">
        <f ca="1">IFERROR(__xludf.DUMMYFUNCTION("""COMPUTED_VALUE"""),"mail@carsten-nordbo.dk")</f>
        <v>mail@carsten-nordbo.dk</v>
      </c>
      <c r="H150" s="14">
        <f ca="1">IFERROR(__xludf.DUMMYFUNCTION("""COMPUTED_VALUE"""),58500083)</f>
        <v>58500083</v>
      </c>
      <c r="I150" s="14" t="str">
        <f ca="1">IFERROR(__xludf.DUMMYFUNCTION("""COMPUTED_VALUE"""),"Smedegade 14")</f>
        <v>Smedegade 14</v>
      </c>
      <c r="J150" s="14">
        <f ca="1">IFERROR(__xludf.DUMMYFUNCTION("""COMPUTED_VALUE"""),4200)</f>
        <v>4200</v>
      </c>
      <c r="K150" s="14" t="str">
        <f ca="1">IFERROR(__xludf.DUMMYFUNCTION("""COMPUTED_VALUE"""),"Slagelse")</f>
        <v>Slagelse</v>
      </c>
      <c r="L150" s="14" t="str">
        <f ca="1">IFERROR(__xludf.DUMMYFUNCTION("""COMPUTED_VALUE"""),"Slagelse")</f>
        <v>Slagelse</v>
      </c>
      <c r="M150" s="14" t="str">
        <f ca="1">IFERROR(__xludf.DUMMYFUNCTION("""COMPUTED_VALUE"""),"Vest- og Sydsjælland")</f>
        <v>Vest- og Sydsjælland</v>
      </c>
      <c r="N150" s="14" t="str">
        <f ca="1">IFERROR(__xludf.DUMMYFUNCTION("""COMPUTED_VALUE"""),"Sjælland")</f>
        <v>Sjælland</v>
      </c>
      <c r="O150" s="14">
        <f ca="1">IFERROR(__xludf.DUMMYFUNCTION("""COMPUTED_VALUE"""),58500083)</f>
        <v>58500083</v>
      </c>
      <c r="P150" s="14" t="str">
        <f ca="1">IFERROR(__xludf.DUMMYFUNCTION("""COMPUTED_VALUE"""),"mail@carsten-nordbo.dk")</f>
        <v>mail@carsten-nordbo.dk</v>
      </c>
      <c r="Q150" s="15" t="str">
        <f ca="1">IFERROR(__xludf.DUMMYFUNCTION("""COMPUTED_VALUE"""),"https://www.boliga.dk/maegler/26342")</f>
        <v>https://www.boliga.dk/maegler/26342</v>
      </c>
      <c r="R150" s="14" t="str">
        <f ca="1">IFERROR(__xludf.DUMMYFUNCTION("""COMPUTED_VALUE"""),"-")</f>
        <v>-</v>
      </c>
      <c r="S150" s="14" t="str">
        <f ca="1">IFERROR(__xludf.DUMMYFUNCTION("""COMPUTED_VALUE"""),"-")</f>
        <v>-</v>
      </c>
      <c r="T150" s="14" t="str">
        <f ca="1">IFERROR(__xludf.DUMMYFUNCTION("""COMPUTED_VALUE"""),"-")</f>
        <v>-</v>
      </c>
      <c r="U150" s="14">
        <f ca="1">IFERROR(__xludf.DUMMYFUNCTION("""COMPUTED_VALUE"""),17)</f>
        <v>17</v>
      </c>
      <c r="V150" s="14" t="str">
        <f ca="1">IFERROR(__xludf.DUMMYFUNCTION("""COMPUTED_VALUE"""),"4220, 4200")</f>
        <v>4220, 4200</v>
      </c>
      <c r="W150" s="14">
        <f ca="1">IFERROR(__xludf.DUMMYFUNCTION("""COMPUTED_VALUE"""),18)</f>
        <v>18</v>
      </c>
      <c r="X150" s="14" t="str">
        <f ca="1">IFERROR(__xludf.DUMMYFUNCTION("""COMPUTED_VALUE"""),"4270, 4200, 4281")</f>
        <v>4270, 4200, 4281</v>
      </c>
      <c r="Y150" s="14" t="str">
        <f ca="1">IFERROR(__xludf.DUMMYFUNCTION("""COMPUTED_VALUE"""),"ja")</f>
        <v>ja</v>
      </c>
      <c r="Z150" s="14"/>
      <c r="AA150" s="14"/>
      <c r="AB150" s="14" t="str">
        <f ca="1">IFERROR(__xludf.DUMMYFUNCTION("""COMPUTED_VALUE"""),"x")</f>
        <v>x</v>
      </c>
      <c r="AC150" s="14" t="str">
        <f ca="1">IFERROR(__xludf.DUMMYFUNCTION("""COMPUTED_VALUE"""),"x")</f>
        <v>x</v>
      </c>
    </row>
    <row r="151" spans="1:29" ht="12.5" x14ac:dyDescent="0.25">
      <c r="A151" s="14" t="str">
        <f ca="1">IFERROR(__xludf.DUMMYFUNCTION("""COMPUTED_VALUE"""),"Camilla")</f>
        <v>Camilla</v>
      </c>
      <c r="B151" s="14" t="str">
        <f ca="1">IFERROR(__xludf.DUMMYFUNCTION("""COMPUTED_VALUE"""),"Næstved Mægleren")</f>
        <v>Næstved Mægleren</v>
      </c>
      <c r="C151" s="14">
        <f ca="1">IFERROR(__xludf.DUMMYFUNCTION("""COMPUTED_VALUE"""),40471979)</f>
        <v>40471979</v>
      </c>
      <c r="D151" s="14" t="str">
        <f ca="1">IFERROR(__xludf.DUMMYFUNCTION("""COMPUTED_VALUE"""),"MG-SJ: 3.499,-")</f>
        <v>MG-SJ: 3.499,-</v>
      </c>
      <c r="E151" s="14">
        <f ca="1">IFERROR(__xludf.DUMMYFUNCTION("""COMPUTED_VALUE"""),1202)</f>
        <v>1202</v>
      </c>
      <c r="F151" s="14" t="str">
        <f ca="1">IFERROR(__xludf.DUMMYFUNCTION("""COMPUTED_VALUE"""),"Anders Jørgensen")</f>
        <v>Anders Jørgensen</v>
      </c>
      <c r="G151" s="14" t="str">
        <f ca="1">IFERROR(__xludf.DUMMYFUNCTION("""COMPUTED_VALUE"""),"aj@naestvedmaegleren.dk")</f>
        <v>aj@naestvedmaegleren.dk</v>
      </c>
      <c r="H151" s="14">
        <f ca="1">IFERROR(__xludf.DUMMYFUNCTION("""COMPUTED_VALUE"""),51225322)</f>
        <v>51225322</v>
      </c>
      <c r="I151" s="14" t="str">
        <f ca="1">IFERROR(__xludf.DUMMYFUNCTION("""COMPUTED_VALUE"""),"Farimagsvej 10")</f>
        <v>Farimagsvej 10</v>
      </c>
      <c r="J151" s="14">
        <f ca="1">IFERROR(__xludf.DUMMYFUNCTION("""COMPUTED_VALUE"""),4700)</f>
        <v>4700</v>
      </c>
      <c r="K151" s="14" t="str">
        <f ca="1">IFERROR(__xludf.DUMMYFUNCTION("""COMPUTED_VALUE"""),"Næstved")</f>
        <v>Næstved</v>
      </c>
      <c r="L151" s="14" t="str">
        <f ca="1">IFERROR(__xludf.DUMMYFUNCTION("""COMPUTED_VALUE"""),"Næstved")</f>
        <v>Næstved</v>
      </c>
      <c r="M151" s="14" t="str">
        <f ca="1">IFERROR(__xludf.DUMMYFUNCTION("""COMPUTED_VALUE"""),"Vest- og Sydsjælland")</f>
        <v>Vest- og Sydsjælland</v>
      </c>
      <c r="N151" s="14" t="str">
        <f ca="1">IFERROR(__xludf.DUMMYFUNCTION("""COMPUTED_VALUE"""),"Sjælland")</f>
        <v>Sjælland</v>
      </c>
      <c r="O151" s="14">
        <f ca="1">IFERROR(__xludf.DUMMYFUNCTION("""COMPUTED_VALUE"""),51225322)</f>
        <v>51225322</v>
      </c>
      <c r="P151" s="14" t="str">
        <f ca="1">IFERROR(__xludf.DUMMYFUNCTION("""COMPUTED_VALUE"""),"aj@naestvedmaegleren.dk")</f>
        <v>aj@naestvedmaegleren.dk</v>
      </c>
      <c r="Q151" s="15" t="str">
        <f ca="1">IFERROR(__xludf.DUMMYFUNCTION("""COMPUTED_VALUE"""),"https://www.boliga.dk/maegler/26672")</f>
        <v>https://www.boliga.dk/maegler/26672</v>
      </c>
      <c r="R151" s="14" t="str">
        <f ca="1">IFERROR(__xludf.DUMMYFUNCTION("""COMPUTED_VALUE"""),"-")</f>
        <v>-</v>
      </c>
      <c r="S151" s="14" t="str">
        <f ca="1">IFERROR(__xludf.DUMMYFUNCTION("""COMPUTED_VALUE"""),"-")</f>
        <v>-</v>
      </c>
      <c r="T151" s="14" t="str">
        <f ca="1">IFERROR(__xludf.DUMMYFUNCTION("""COMPUTED_VALUE"""),"-")</f>
        <v>-</v>
      </c>
      <c r="U151" s="14">
        <f ca="1">IFERROR(__xludf.DUMMYFUNCTION("""COMPUTED_VALUE"""),14)</f>
        <v>14</v>
      </c>
      <c r="V151" s="14" t="str">
        <f ca="1">IFERROR(__xludf.DUMMYFUNCTION("""COMPUTED_VALUE"""),"4736, 4160, 4250, 4733, 4700, 4750")</f>
        <v>4736, 4160, 4250, 4733, 4700, 4750</v>
      </c>
      <c r="W151" s="14">
        <f ca="1">IFERROR(__xludf.DUMMYFUNCTION("""COMPUTED_VALUE"""),22)</f>
        <v>22</v>
      </c>
      <c r="X151" s="14" t="str">
        <f ca="1">IFERROR(__xludf.DUMMYFUNCTION("""COMPUTED_VALUE"""),"4684, 4243, 4736, 4160, 4250, 4733, 4700")</f>
        <v>4684, 4243, 4736, 4160, 4250, 4733, 4700</v>
      </c>
      <c r="Y151" s="14" t="str">
        <f ca="1">IFERROR(__xludf.DUMMYFUNCTION("""COMPUTED_VALUE"""),"ja")</f>
        <v>ja</v>
      </c>
      <c r="Z151" s="14"/>
      <c r="AA151" s="14"/>
      <c r="AB151" s="14" t="str">
        <f ca="1">IFERROR(__xludf.DUMMYFUNCTION("""COMPUTED_VALUE"""),"x")</f>
        <v>x</v>
      </c>
      <c r="AC151" s="14" t="str">
        <f ca="1">IFERROR(__xludf.DUMMYFUNCTION("""COMPUTED_VALUE"""),"x")</f>
        <v>x</v>
      </c>
    </row>
    <row r="152" spans="1:29" ht="12.5" x14ac:dyDescent="0.25">
      <c r="A152" s="14" t="str">
        <f ca="1">IFERROR(__xludf.DUMMYFUNCTION("""COMPUTED_VALUE"""),"Camilla")</f>
        <v>Camilla</v>
      </c>
      <c r="B152" s="14" t="str">
        <f ca="1">IFERROR(__xludf.DUMMYFUNCTION("""COMPUTED_VALUE"""),"Peter Due Bolig")</f>
        <v>Peter Due Bolig</v>
      </c>
      <c r="C152" s="14">
        <f ca="1">IFERROR(__xludf.DUMMYFUNCTION("""COMPUTED_VALUE"""),26199743)</f>
        <v>26199743</v>
      </c>
      <c r="D152" s="14" t="str">
        <f ca="1">IFERROR(__xludf.DUMMYFUNCTION("""COMPUTED_VALUE"""),"MG-SJ: 3.499,-")</f>
        <v>MG-SJ: 3.499,-</v>
      </c>
      <c r="E152" s="14">
        <f ca="1">IFERROR(__xludf.DUMMYFUNCTION("""COMPUTED_VALUE"""),1202)</f>
        <v>1202</v>
      </c>
      <c r="F152" s="14" t="str">
        <f ca="1">IFERROR(__xludf.DUMMYFUNCTION("""COMPUTED_VALUE"""),"Peter Due")</f>
        <v>Peter Due</v>
      </c>
      <c r="G152" s="14" t="str">
        <f ca="1">IFERROR(__xludf.DUMMYFUNCTION("""COMPUTED_VALUE"""),"peter@peterduebolig.dk")</f>
        <v>peter@peterduebolig.dk</v>
      </c>
      <c r="H152" s="14">
        <f ca="1">IFERROR(__xludf.DUMMYFUNCTION("""COMPUTED_VALUE"""),57832288)</f>
        <v>57832288</v>
      </c>
      <c r="I152" s="14" t="str">
        <f ca="1">IFERROR(__xludf.DUMMYFUNCTION("""COMPUTED_VALUE"""),"Slottet, Kongebrovej 47")</f>
        <v>Slottet, Kongebrovej 47</v>
      </c>
      <c r="J152" s="14">
        <f ca="1">IFERROR(__xludf.DUMMYFUNCTION("""COMPUTED_VALUE"""),4180)</f>
        <v>4180</v>
      </c>
      <c r="K152" s="14" t="str">
        <f ca="1">IFERROR(__xludf.DUMMYFUNCTION("""COMPUTED_VALUE"""),"Sorø")</f>
        <v>Sorø</v>
      </c>
      <c r="L152" s="14" t="str">
        <f ca="1">IFERROR(__xludf.DUMMYFUNCTION("""COMPUTED_VALUE"""),"Sorø")</f>
        <v>Sorø</v>
      </c>
      <c r="M152" s="14" t="str">
        <f ca="1">IFERROR(__xludf.DUMMYFUNCTION("""COMPUTED_VALUE"""),"Vest- og Sydsjælland")</f>
        <v>Vest- og Sydsjælland</v>
      </c>
      <c r="N152" s="14" t="str">
        <f ca="1">IFERROR(__xludf.DUMMYFUNCTION("""COMPUTED_VALUE"""),"Sjælland")</f>
        <v>Sjælland</v>
      </c>
      <c r="O152" s="14">
        <f ca="1">IFERROR(__xludf.DUMMYFUNCTION("""COMPUTED_VALUE"""),57832288)</f>
        <v>57832288</v>
      </c>
      <c r="P152" s="14" t="str">
        <f ca="1">IFERROR(__xludf.DUMMYFUNCTION("""COMPUTED_VALUE"""),"mail@peterduebolig.dk")</f>
        <v>mail@peterduebolig.dk</v>
      </c>
      <c r="Q152" s="15" t="str">
        <f ca="1">IFERROR(__xludf.DUMMYFUNCTION("""COMPUTED_VALUE"""),"https://www.boliga.dk/maegler/26334")</f>
        <v>https://www.boliga.dk/maegler/26334</v>
      </c>
      <c r="R152" s="14" t="str">
        <f ca="1">IFERROR(__xludf.DUMMYFUNCTION("""COMPUTED_VALUE"""),"-")</f>
        <v>-</v>
      </c>
      <c r="S152" s="14" t="str">
        <f ca="1">IFERROR(__xludf.DUMMYFUNCTION("""COMPUTED_VALUE"""),"-")</f>
        <v>-</v>
      </c>
      <c r="T152" s="14" t="str">
        <f ca="1">IFERROR(__xludf.DUMMYFUNCTION("""COMPUTED_VALUE"""),"-")</f>
        <v>-</v>
      </c>
      <c r="U152" s="14">
        <f ca="1">IFERROR(__xludf.DUMMYFUNCTION("""COMPUTED_VALUE"""),21)</f>
        <v>21</v>
      </c>
      <c r="V152" s="14" t="str">
        <f ca="1">IFERROR(__xludf.DUMMYFUNCTION("""COMPUTED_VALUE"""),"4291, 4180, 4593, 4200, 4190, 4293, 4296, 4295")</f>
        <v>4291, 4180, 4593, 4200, 4190, 4293, 4296, 4295</v>
      </c>
      <c r="W152" s="14">
        <f ca="1">IFERROR(__xludf.DUMMYFUNCTION("""COMPUTED_VALUE"""),17)</f>
        <v>17</v>
      </c>
      <c r="X152" s="14" t="str">
        <f ca="1">IFERROR(__xludf.DUMMYFUNCTION("""COMPUTED_VALUE"""),"4291, 4293, 4700, 4180, 4100, 4190, 4295, 4480")</f>
        <v>4291, 4293, 4700, 4180, 4100, 4190, 4295, 4480</v>
      </c>
      <c r="Y152" s="14" t="str">
        <f ca="1">IFERROR(__xludf.DUMMYFUNCTION("""COMPUTED_VALUE"""),"ja")</f>
        <v>ja</v>
      </c>
      <c r="Z152" s="14"/>
      <c r="AA152" s="14"/>
      <c r="AB152" s="14" t="str">
        <f ca="1">IFERROR(__xludf.DUMMYFUNCTION("""COMPUTED_VALUE"""),"x")</f>
        <v>x</v>
      </c>
      <c r="AC152" s="14" t="str">
        <f ca="1">IFERROR(__xludf.DUMMYFUNCTION("""COMPUTED_VALUE"""),"x")</f>
        <v>x</v>
      </c>
    </row>
    <row r="153" spans="1:29" ht="12.5" x14ac:dyDescent="0.25">
      <c r="A153" s="14" t="str">
        <f ca="1">IFERROR(__xludf.DUMMYFUNCTION("""COMPUTED_VALUE"""),"Camilla")</f>
        <v>Camilla</v>
      </c>
      <c r="B153" s="14" t="str">
        <f ca="1">IFERROR(__xludf.DUMMYFUNCTION("""COMPUTED_VALUE"""),"SR-Bolig")</f>
        <v>SR-Bolig</v>
      </c>
      <c r="C153" s="14">
        <f ca="1">IFERROR(__xludf.DUMMYFUNCTION("""COMPUTED_VALUE"""),27516947)</f>
        <v>27516947</v>
      </c>
      <c r="D153" s="14" t="str">
        <f ca="1">IFERROR(__xludf.DUMMYFUNCTION("""COMPUTED_VALUE"""),"MG-SJ: 3.499,-")</f>
        <v>MG-SJ: 3.499,-</v>
      </c>
      <c r="E153" s="14">
        <f ca="1">IFERROR(__xludf.DUMMYFUNCTION("""COMPUTED_VALUE"""),1202)</f>
        <v>1202</v>
      </c>
      <c r="F153" s="14" t="str">
        <f ca="1">IFERROR(__xludf.DUMMYFUNCTION("""COMPUTED_VALUE"""),"Susanne Rasmussen")</f>
        <v>Susanne Rasmussen</v>
      </c>
      <c r="G153" s="14" t="str">
        <f ca="1">IFERROR(__xludf.DUMMYFUNCTION("""COMPUTED_VALUE"""),"info@sr-bolig.dk")</f>
        <v>info@sr-bolig.dk</v>
      </c>
      <c r="H153" s="14">
        <f ca="1">IFERROR(__xludf.DUMMYFUNCTION("""COMPUTED_VALUE"""),23292220)</f>
        <v>23292220</v>
      </c>
      <c r="I153" s="14" t="str">
        <f ca="1">IFERROR(__xludf.DUMMYFUNCTION("""COMPUTED_VALUE"""),"Boruphøj 1")</f>
        <v>Boruphøj 1</v>
      </c>
      <c r="J153" s="14">
        <f ca="1">IFERROR(__xludf.DUMMYFUNCTION("""COMPUTED_VALUE"""),4683)</f>
        <v>4683</v>
      </c>
      <c r="K153" s="14" t="str">
        <f ca="1">IFERROR(__xludf.DUMMYFUNCTION("""COMPUTED_VALUE"""),"Rønnede")</f>
        <v>Rønnede</v>
      </c>
      <c r="L153" s="14" t="str">
        <f ca="1">IFERROR(__xludf.DUMMYFUNCTION("""COMPUTED_VALUE"""),"Faxe")</f>
        <v>Faxe</v>
      </c>
      <c r="M153" s="14" t="str">
        <f ca="1">IFERROR(__xludf.DUMMYFUNCTION("""COMPUTED_VALUE"""),"Vest- og Sydsjælland")</f>
        <v>Vest- og Sydsjælland</v>
      </c>
      <c r="N153" s="14" t="str">
        <f ca="1">IFERROR(__xludf.DUMMYFUNCTION("""COMPUTED_VALUE"""),"Sjælland")</f>
        <v>Sjælland</v>
      </c>
      <c r="O153" s="14">
        <f ca="1">IFERROR(__xludf.DUMMYFUNCTION("""COMPUTED_VALUE"""),23292220)</f>
        <v>23292220</v>
      </c>
      <c r="P153" s="14" t="str">
        <f ca="1">IFERROR(__xludf.DUMMYFUNCTION("""COMPUTED_VALUE"""),"info@sr-bolig.dk")</f>
        <v>info@sr-bolig.dk</v>
      </c>
      <c r="Q153" s="15" t="str">
        <f ca="1">IFERROR(__xludf.DUMMYFUNCTION("""COMPUTED_VALUE"""),"https://www.boliga.dk/maegler/26767")</f>
        <v>https://www.boliga.dk/maegler/26767</v>
      </c>
      <c r="R153" s="14" t="str">
        <f ca="1">IFERROR(__xludf.DUMMYFUNCTION("""COMPUTED_VALUE"""),"-")</f>
        <v>-</v>
      </c>
      <c r="S153" s="14" t="str">
        <f ca="1">IFERROR(__xludf.DUMMYFUNCTION("""COMPUTED_VALUE"""),"-")</f>
        <v>-</v>
      </c>
      <c r="T153" s="14" t="str">
        <f ca="1">IFERROR(__xludf.DUMMYFUNCTION("""COMPUTED_VALUE"""),"-")</f>
        <v>-</v>
      </c>
      <c r="U153" s="14">
        <f ca="1">IFERROR(__xludf.DUMMYFUNCTION("""COMPUTED_VALUE"""),2)</f>
        <v>2</v>
      </c>
      <c r="V153" s="14" t="str">
        <f ca="1">IFERROR(__xludf.DUMMYFUNCTION("""COMPUTED_VALUE"""),"4690, 4760")</f>
        <v>4690, 4760</v>
      </c>
      <c r="W153" s="14">
        <f ca="1">IFERROR(__xludf.DUMMYFUNCTION("""COMPUTED_VALUE"""),3)</f>
        <v>3</v>
      </c>
      <c r="X153" s="14" t="str">
        <f ca="1">IFERROR(__xludf.DUMMYFUNCTION("""COMPUTED_VALUE"""),"4640, 4690, 4683")</f>
        <v>4640, 4690, 4683</v>
      </c>
      <c r="Y153" s="14" t="str">
        <f ca="1">IFERROR(__xludf.DUMMYFUNCTION("""COMPUTED_VALUE"""),"ja")</f>
        <v>ja</v>
      </c>
      <c r="Z153" s="14"/>
      <c r="AA153" s="14"/>
      <c r="AB153" s="14" t="str">
        <f ca="1">IFERROR(__xludf.DUMMYFUNCTION("""COMPUTED_VALUE"""),"x")</f>
        <v>x</v>
      </c>
      <c r="AC153" s="14" t="str">
        <f ca="1">IFERROR(__xludf.DUMMYFUNCTION("""COMPUTED_VALUE"""),"x")</f>
        <v>x</v>
      </c>
    </row>
    <row r="154" spans="1:29" ht="12.5" x14ac:dyDescent="0.25">
      <c r="A154" s="14" t="str">
        <f ca="1">IFERROR(__xludf.DUMMYFUNCTION("""COMPUTED_VALUE"""),"Camilla")</f>
        <v>Camilla</v>
      </c>
      <c r="B154" s="14" t="str">
        <f ca="1">IFERROR(__xludf.DUMMYFUNCTION("""COMPUTED_VALUE"""),"Wennemoes Bolig")</f>
        <v>Wennemoes Bolig</v>
      </c>
      <c r="C154" s="14">
        <f ca="1">IFERROR(__xludf.DUMMYFUNCTION("""COMPUTED_VALUE"""),31823242)</f>
        <v>31823242</v>
      </c>
      <c r="D154" s="14" t="str">
        <f ca="1">IFERROR(__xludf.DUMMYFUNCTION("""COMPUTED_VALUE"""),"MG-SJ: 3.499,-")</f>
        <v>MG-SJ: 3.499,-</v>
      </c>
      <c r="E154" s="14">
        <f ca="1">IFERROR(__xludf.DUMMYFUNCTION("""COMPUTED_VALUE"""),1202)</f>
        <v>1202</v>
      </c>
      <c r="F154" s="14" t="str">
        <f ca="1">IFERROR(__xludf.DUMMYFUNCTION("""COMPUTED_VALUE"""),"Torben Wennemoes")</f>
        <v>Torben Wennemoes</v>
      </c>
      <c r="G154" s="14" t="str">
        <f ca="1">IFERROR(__xludf.DUMMYFUNCTION("""COMPUTED_VALUE"""),"mail@wbolig.dk")</f>
        <v>mail@wbolig.dk</v>
      </c>
      <c r="H154" s="14">
        <f ca="1">IFERROR(__xludf.DUMMYFUNCTION("""COMPUTED_VALUE"""),24604514)</f>
        <v>24604514</v>
      </c>
      <c r="I154" s="14" t="str">
        <f ca="1">IFERROR(__xludf.DUMMYFUNCTION("""COMPUTED_VALUE"""),"Svogerslev Hovedgade 37")</f>
        <v>Svogerslev Hovedgade 37</v>
      </c>
      <c r="J154" s="14">
        <f ca="1">IFERROR(__xludf.DUMMYFUNCTION("""COMPUTED_VALUE"""),4000)</f>
        <v>4000</v>
      </c>
      <c r="K154" s="14" t="str">
        <f ca="1">IFERROR(__xludf.DUMMYFUNCTION("""COMPUTED_VALUE"""),"Roskilde")</f>
        <v>Roskilde</v>
      </c>
      <c r="L154" s="14" t="str">
        <f ca="1">IFERROR(__xludf.DUMMYFUNCTION("""COMPUTED_VALUE"""),"Roskilde")</f>
        <v>Roskilde</v>
      </c>
      <c r="M154" s="14" t="str">
        <f ca="1">IFERROR(__xludf.DUMMYFUNCTION("""COMPUTED_VALUE"""),"Østsjælland")</f>
        <v>Østsjælland</v>
      </c>
      <c r="N154" s="14" t="str">
        <f ca="1">IFERROR(__xludf.DUMMYFUNCTION("""COMPUTED_VALUE"""),"Sjælland")</f>
        <v>Sjælland</v>
      </c>
      <c r="O154" s="14" t="str">
        <f ca="1">IFERROR(__xludf.DUMMYFUNCTION("""COMPUTED_VALUE"""),"4635 0011")</f>
        <v>4635 0011</v>
      </c>
      <c r="P154" s="14" t="str">
        <f ca="1">IFERROR(__xludf.DUMMYFUNCTION("""COMPUTED_VALUE"""),"mail@wennemoesbolig.dk")</f>
        <v>mail@wennemoesbolig.dk</v>
      </c>
      <c r="Q154" s="15" t="str">
        <f ca="1">IFERROR(__xludf.DUMMYFUNCTION("""COMPUTED_VALUE"""),"https://www.boliga.dk/maegler/851")</f>
        <v>https://www.boliga.dk/maegler/851</v>
      </c>
      <c r="R154" s="14" t="str">
        <f ca="1">IFERROR(__xludf.DUMMYFUNCTION("""COMPUTED_VALUE"""),"-")</f>
        <v>-</v>
      </c>
      <c r="S154" s="14" t="str">
        <f ca="1">IFERROR(__xludf.DUMMYFUNCTION("""COMPUTED_VALUE"""),"-")</f>
        <v>-</v>
      </c>
      <c r="T154" s="14" t="str">
        <f ca="1">IFERROR(__xludf.DUMMYFUNCTION("""COMPUTED_VALUE"""),"-")</f>
        <v>-</v>
      </c>
      <c r="U154" s="14">
        <f ca="1">IFERROR(__xludf.DUMMYFUNCTION("""COMPUTED_VALUE"""),5)</f>
        <v>5</v>
      </c>
      <c r="V154" s="14" t="str">
        <f ca="1">IFERROR(__xludf.DUMMYFUNCTION("""COMPUTED_VALUE"""),"4070, 4000")</f>
        <v>4070, 4000</v>
      </c>
      <c r="W154" s="14">
        <f ca="1">IFERROR(__xludf.DUMMYFUNCTION("""COMPUTED_VALUE"""),7)</f>
        <v>7</v>
      </c>
      <c r="X154" s="14">
        <f ca="1">IFERROR(__xludf.DUMMYFUNCTION("""COMPUTED_VALUE"""),4000)</f>
        <v>4000</v>
      </c>
      <c r="Y154" s="14" t="str">
        <f ca="1">IFERROR(__xludf.DUMMYFUNCTION("""COMPUTED_VALUE"""),"ja")</f>
        <v>ja</v>
      </c>
      <c r="Z154" s="14"/>
      <c r="AA154" s="14"/>
      <c r="AB154" s="14" t="str">
        <f ca="1">IFERROR(__xludf.DUMMYFUNCTION("""COMPUTED_VALUE"""),"x")</f>
        <v>x</v>
      </c>
      <c r="AC154" s="14" t="str">
        <f ca="1">IFERROR(__xludf.DUMMYFUNCTION("""COMPUTED_VALUE"""),"x")</f>
        <v>x</v>
      </c>
    </row>
    <row r="155" spans="1:29" ht="12.5" x14ac:dyDescent="0.25">
      <c r="A155" s="14" t="str">
        <f ca="1">IFERROR(__xludf.DUMMYFUNCTION("""COMPUTED_VALUE"""),"Camilla")</f>
        <v>Camilla</v>
      </c>
      <c r="B155" s="14" t="str">
        <f ca="1">IFERROR(__xludf.DUMMYFUNCTION("""COMPUTED_VALUE"""),"1A Bolig &amp; Erhverv ApS")</f>
        <v>1A Bolig &amp; Erhverv ApS</v>
      </c>
      <c r="C155" s="14">
        <f ca="1">IFERROR(__xludf.DUMMYFUNCTION("""COMPUTED_VALUE"""),39954877)</f>
        <v>39954877</v>
      </c>
      <c r="D155" s="14" t="str">
        <f ca="1">IFERROR(__xludf.DUMMYFUNCTION("""COMPUTED_VALUE"""),"MG-JY: 2.499,-")</f>
        <v>MG-JY: 2.499,-</v>
      </c>
      <c r="E155" s="14">
        <f ca="1">IFERROR(__xludf.DUMMYFUNCTION("""COMPUTED_VALUE"""),1201)</f>
        <v>1201</v>
      </c>
      <c r="F155" s="14" t="str">
        <f ca="1">IFERROR(__xludf.DUMMYFUNCTION("""COMPUTED_VALUE"""),"Kia Jakobsen")</f>
        <v>Kia Jakobsen</v>
      </c>
      <c r="G155" s="14" t="str">
        <f ca="1">IFERROR(__xludf.DUMMYFUNCTION("""COMPUTED_VALUE"""),"kia@1abolig.dk")</f>
        <v>kia@1abolig.dk</v>
      </c>
      <c r="H155" s="14">
        <f ca="1">IFERROR(__xludf.DUMMYFUNCTION("""COMPUTED_VALUE"""),36141418)</f>
        <v>36141418</v>
      </c>
      <c r="I155" s="14" t="str">
        <f ca="1">IFERROR(__xludf.DUMMYFUNCTION("""COMPUTED_VALUE"""),"Coriolisvej 1")</f>
        <v>Coriolisvej 1</v>
      </c>
      <c r="J155" s="14">
        <f ca="1">IFERROR(__xludf.DUMMYFUNCTION("""COMPUTED_VALUE"""),6400)</f>
        <v>6400</v>
      </c>
      <c r="K155" s="14" t="str">
        <f ca="1">IFERROR(__xludf.DUMMYFUNCTION("""COMPUTED_VALUE"""),"Sønderborg")</f>
        <v>Sønderborg</v>
      </c>
      <c r="L155" s="14" t="str">
        <f ca="1">IFERROR(__xludf.DUMMYFUNCTION("""COMPUTED_VALUE"""),"Sønderborg")</f>
        <v>Sønderborg</v>
      </c>
      <c r="M155" s="14" t="str">
        <f ca="1">IFERROR(__xludf.DUMMYFUNCTION("""COMPUTED_VALUE"""),"Sydjylland")</f>
        <v>Sydjylland</v>
      </c>
      <c r="N155" s="14" t="str">
        <f ca="1">IFERROR(__xludf.DUMMYFUNCTION("""COMPUTED_VALUE"""),"Syddanmark")</f>
        <v>Syddanmark</v>
      </c>
      <c r="O155" s="14">
        <f ca="1">IFERROR(__xludf.DUMMYFUNCTION("""COMPUTED_VALUE"""),36141418)</f>
        <v>36141418</v>
      </c>
      <c r="P155" s="14" t="str">
        <f ca="1">IFERROR(__xludf.DUMMYFUNCTION("""COMPUTED_VALUE"""),"1a@1abolig.dk")</f>
        <v>1a@1abolig.dk</v>
      </c>
      <c r="Q155" s="15" t="str">
        <f ca="1">IFERROR(__xludf.DUMMYFUNCTION("""COMPUTED_VALUE"""),"https://www.boliga.dk/maegler/27495")</f>
        <v>https://www.boliga.dk/maegler/27495</v>
      </c>
      <c r="R155" s="14" t="str">
        <f ca="1">IFERROR(__xludf.DUMMYFUNCTION("""COMPUTED_VALUE"""),"-")</f>
        <v>-</v>
      </c>
      <c r="S155" s="14" t="str">
        <f ca="1">IFERROR(__xludf.DUMMYFUNCTION("""COMPUTED_VALUE"""),"-")</f>
        <v>-</v>
      </c>
      <c r="T155" s="14" t="str">
        <f ca="1">IFERROR(__xludf.DUMMYFUNCTION("""COMPUTED_VALUE"""),"-")</f>
        <v>-</v>
      </c>
      <c r="U155" s="14">
        <f ca="1">IFERROR(__xludf.DUMMYFUNCTION("""COMPUTED_VALUE"""),19)</f>
        <v>19</v>
      </c>
      <c r="V155" s="14" t="str">
        <f ca="1">IFERROR(__xludf.DUMMYFUNCTION("""COMPUTED_VALUE"""),"6310, 6430, 6300, 6440, 6400, 6470")</f>
        <v>6310, 6430, 6300, 6440, 6400, 6470</v>
      </c>
      <c r="W155" s="14">
        <f ca="1">IFERROR(__xludf.DUMMYFUNCTION("""COMPUTED_VALUE"""),10)</f>
        <v>10</v>
      </c>
      <c r="X155" s="14" t="str">
        <f ca="1">IFERROR(__xludf.DUMMYFUNCTION("""COMPUTED_VALUE"""),"6440, 6400, 6430, 6470")</f>
        <v>6440, 6400, 6430, 6470</v>
      </c>
      <c r="Y155" s="14" t="str">
        <f ca="1">IFERROR(__xludf.DUMMYFUNCTION("""COMPUTED_VALUE"""),"ja")</f>
        <v>ja</v>
      </c>
      <c r="Z155" s="14"/>
      <c r="AA155" s="14"/>
      <c r="AB155" s="14" t="str">
        <f ca="1">IFERROR(__xludf.DUMMYFUNCTION("""COMPUTED_VALUE"""),"x")</f>
        <v>x</v>
      </c>
      <c r="AC155" s="14" t="str">
        <f ca="1">IFERROR(__xludf.DUMMYFUNCTION("""COMPUTED_VALUE"""),"x")</f>
        <v>x</v>
      </c>
    </row>
    <row r="156" spans="1:29" ht="12.5" x14ac:dyDescent="0.25">
      <c r="A156" s="14" t="str">
        <f ca="1">IFERROR(__xludf.DUMMYFUNCTION("""COMPUTED_VALUE"""),"Camilla")</f>
        <v>Camilla</v>
      </c>
      <c r="B156" s="14" t="str">
        <f ca="1">IFERROR(__xludf.DUMMYFUNCTION("""COMPUTED_VALUE"""),"BlåvandMægleren")</f>
        <v>BlåvandMægleren</v>
      </c>
      <c r="C156" s="14">
        <f ca="1">IFERROR(__xludf.DUMMYFUNCTION("""COMPUTED_VALUE"""),26287901)</f>
        <v>26287901</v>
      </c>
      <c r="D156" s="14" t="str">
        <f ca="1">IFERROR(__xludf.DUMMYFUNCTION("""COMPUTED_VALUE"""),"MG-JY: 2.499,-")</f>
        <v>MG-JY: 2.499,-</v>
      </c>
      <c r="E156" s="14">
        <f ca="1">IFERROR(__xludf.DUMMYFUNCTION("""COMPUTED_VALUE"""),1201)</f>
        <v>1201</v>
      </c>
      <c r="F156" s="14" t="str">
        <f ca="1">IFERROR(__xludf.DUMMYFUNCTION("""COMPUTED_VALUE"""),"Anja Lützen")</f>
        <v>Anja Lützen</v>
      </c>
      <c r="G156" s="14" t="str">
        <f ca="1">IFERROR(__xludf.DUMMYFUNCTION("""COMPUTED_VALUE"""),"al@onlinemaegleren.dk")</f>
        <v>al@onlinemaegleren.dk</v>
      </c>
      <c r="H156" s="14">
        <f ca="1">IFERROR(__xludf.DUMMYFUNCTION("""COMPUTED_VALUE"""),40207307)</f>
        <v>40207307</v>
      </c>
      <c r="I156" s="14" t="str">
        <f ca="1">IFERROR(__xludf.DUMMYFUNCTION("""COMPUTED_VALUE"""),"Blåvandvej 24")</f>
        <v>Blåvandvej 24</v>
      </c>
      <c r="J156" s="14">
        <f ca="1">IFERROR(__xludf.DUMMYFUNCTION("""COMPUTED_VALUE"""),6857)</f>
        <v>6857</v>
      </c>
      <c r="K156" s="14" t="str">
        <f ca="1">IFERROR(__xludf.DUMMYFUNCTION("""COMPUTED_VALUE"""),"Blåvand")</f>
        <v>Blåvand</v>
      </c>
      <c r="L156" s="14" t="str">
        <f ca="1">IFERROR(__xludf.DUMMYFUNCTION("""COMPUTED_VALUE"""),"Varde")</f>
        <v>Varde</v>
      </c>
      <c r="M156" s="14" t="str">
        <f ca="1">IFERROR(__xludf.DUMMYFUNCTION("""COMPUTED_VALUE"""),"Sydjylland")</f>
        <v>Sydjylland</v>
      </c>
      <c r="N156" s="14" t="str">
        <f ca="1">IFERROR(__xludf.DUMMYFUNCTION("""COMPUTED_VALUE"""),"Syddanmark")</f>
        <v>Syddanmark</v>
      </c>
      <c r="O156" s="14">
        <f ca="1">IFERROR(__xludf.DUMMYFUNCTION("""COMPUTED_VALUE"""),23282324)</f>
        <v>23282324</v>
      </c>
      <c r="P156" s="14" t="str">
        <f ca="1">IFERROR(__xludf.DUMMYFUNCTION("""COMPUTED_VALUE"""),"cl@blaavandmaegleren.dk")</f>
        <v>cl@blaavandmaegleren.dk</v>
      </c>
      <c r="Q156" s="15" t="str">
        <f ca="1">IFERROR(__xludf.DUMMYFUNCTION("""COMPUTED_VALUE"""),"https://www.boliga.dk/maegler/17673")</f>
        <v>https://www.boliga.dk/maegler/17673</v>
      </c>
      <c r="R156" s="14" t="str">
        <f ca="1">IFERROR(__xludf.DUMMYFUNCTION("""COMPUTED_VALUE"""),"-")</f>
        <v>-</v>
      </c>
      <c r="S156" s="14" t="str">
        <f ca="1">IFERROR(__xludf.DUMMYFUNCTION("""COMPUTED_VALUE"""),"-")</f>
        <v>-</v>
      </c>
      <c r="T156" s="14" t="str">
        <f ca="1">IFERROR(__xludf.DUMMYFUNCTION("""COMPUTED_VALUE"""),"-")</f>
        <v>-</v>
      </c>
      <c r="U156" s="14">
        <f ca="1">IFERROR(__xludf.DUMMYFUNCTION("""COMPUTED_VALUE"""),7)</f>
        <v>7</v>
      </c>
      <c r="V156" s="14">
        <f ca="1">IFERROR(__xludf.DUMMYFUNCTION("""COMPUTED_VALUE"""),6857)</f>
        <v>6857</v>
      </c>
      <c r="W156" s="14">
        <f ca="1">IFERROR(__xludf.DUMMYFUNCTION("""COMPUTED_VALUE"""),8)</f>
        <v>8</v>
      </c>
      <c r="X156" s="14" t="str">
        <f ca="1">IFERROR(__xludf.DUMMYFUNCTION("""COMPUTED_VALUE"""),"6840, 6857")</f>
        <v>6840, 6857</v>
      </c>
      <c r="Y156" s="14" t="str">
        <f ca="1">IFERROR(__xludf.DUMMYFUNCTION("""COMPUTED_VALUE"""),"ja")</f>
        <v>ja</v>
      </c>
      <c r="Z156" s="14"/>
      <c r="AA156" s="14"/>
      <c r="AB156" s="14" t="str">
        <f ca="1">IFERROR(__xludf.DUMMYFUNCTION("""COMPUTED_VALUE"""),"x")</f>
        <v>x</v>
      </c>
      <c r="AC156" s="14" t="str">
        <f ca="1">IFERROR(__xludf.DUMMYFUNCTION("""COMPUTED_VALUE"""),"x")</f>
        <v>x</v>
      </c>
    </row>
    <row r="157" spans="1:29" ht="12.5" x14ac:dyDescent="0.25">
      <c r="A157" s="14" t="str">
        <f ca="1">IFERROR(__xludf.DUMMYFUNCTION("""COMPUTED_VALUE"""),"Camilla")</f>
        <v>Camilla</v>
      </c>
      <c r="B157" s="14" t="str">
        <f ca="1">IFERROR(__xludf.DUMMYFUNCTION("""COMPUTED_VALUE"""),"Bolig- &amp; Erhvervsmægler Augustinus")</f>
        <v>Bolig- &amp; Erhvervsmægler Augustinus</v>
      </c>
      <c r="C157" s="14">
        <f ca="1">IFERROR(__xludf.DUMMYFUNCTION("""COMPUTED_VALUE"""),42701238)</f>
        <v>42701238</v>
      </c>
      <c r="D157" s="14" t="str">
        <f ca="1">IFERROR(__xludf.DUMMYFUNCTION("""COMPUTED_VALUE"""),"MG-JY: 2.499,-")</f>
        <v>MG-JY: 2.499,-</v>
      </c>
      <c r="E157" s="14">
        <f ca="1">IFERROR(__xludf.DUMMYFUNCTION("""COMPUTED_VALUE"""),1201)</f>
        <v>1201</v>
      </c>
      <c r="F157" s="14" t="str">
        <f ca="1">IFERROR(__xludf.DUMMYFUNCTION("""COMPUTED_VALUE"""),"Kristian Amstrup")</f>
        <v>Kristian Amstrup</v>
      </c>
      <c r="G157" s="14" t="str">
        <f ca="1">IFERROR(__xludf.DUMMYFUNCTION("""COMPUTED_VALUE"""),"kristian@augustinusbolig.dk")</f>
        <v>kristian@augustinusbolig.dk</v>
      </c>
      <c r="H157" s="14">
        <f ca="1">IFERROR(__xludf.DUMMYFUNCTION("""COMPUTED_VALUE"""),71999280)</f>
        <v>71999280</v>
      </c>
      <c r="I157" s="14" t="str">
        <f ca="1">IFERROR(__xludf.DUMMYFUNCTION("""COMPUTED_VALUE"""),"Østergade 4 st.")</f>
        <v>Østergade 4 st.</v>
      </c>
      <c r="J157" s="14">
        <f ca="1">IFERROR(__xludf.DUMMYFUNCTION("""COMPUTED_VALUE"""),5610)</f>
        <v>5610</v>
      </c>
      <c r="K157" s="14" t="str">
        <f ca="1">IFERROR(__xludf.DUMMYFUNCTION("""COMPUTED_VALUE"""),"Assens")</f>
        <v>Assens</v>
      </c>
      <c r="L157" s="14" t="str">
        <f ca="1">IFERROR(__xludf.DUMMYFUNCTION("""COMPUTED_VALUE"""),"Assens")</f>
        <v>Assens</v>
      </c>
      <c r="M157" s="14" t="str">
        <f ca="1">IFERROR(__xludf.DUMMYFUNCTION("""COMPUTED_VALUE"""),"Fyn")</f>
        <v>Fyn</v>
      </c>
      <c r="N157" s="14" t="str">
        <f ca="1">IFERROR(__xludf.DUMMYFUNCTION("""COMPUTED_VALUE"""),"Syddanmark")</f>
        <v>Syddanmark</v>
      </c>
      <c r="O157" s="14" t="str">
        <f ca="1">IFERROR(__xludf.DUMMYFUNCTION("""COMPUTED_VALUE"""),"71 99 92 80")</f>
        <v>71 99 92 80</v>
      </c>
      <c r="P157" s="14" t="str">
        <f ca="1">IFERROR(__xludf.DUMMYFUNCTION("""COMPUTED_VALUE"""),"info@augustinuserhverv.dk")</f>
        <v>info@augustinuserhverv.dk</v>
      </c>
      <c r="Q157" s="15" t="str">
        <f ca="1">IFERROR(__xludf.DUMMYFUNCTION("""COMPUTED_VALUE"""),"https://www.boliga.dk/maegler/29027")</f>
        <v>https://www.boliga.dk/maegler/29027</v>
      </c>
      <c r="R157" s="14" t="str">
        <f ca="1">IFERROR(__xludf.DUMMYFUNCTION("""COMPUTED_VALUE"""),"-")</f>
        <v>-</v>
      </c>
      <c r="S157" s="14" t="str">
        <f ca="1">IFERROR(__xludf.DUMMYFUNCTION("""COMPUTED_VALUE"""),"-")</f>
        <v>-</v>
      </c>
      <c r="T157" s="14" t="str">
        <f ca="1">IFERROR(__xludf.DUMMYFUNCTION("""COMPUTED_VALUE"""),"-")</f>
        <v>-</v>
      </c>
      <c r="U157" s="14">
        <f ca="1">IFERROR(__xludf.DUMMYFUNCTION("""COMPUTED_VALUE"""),8)</f>
        <v>8</v>
      </c>
      <c r="V157" s="14" t="str">
        <f ca="1">IFERROR(__xludf.DUMMYFUNCTION("""COMPUTED_VALUE"""),"5592, 7760, 5485, 5610, 5953")</f>
        <v>5592, 7760, 5485, 5610, 5953</v>
      </c>
      <c r="W157" s="14" t="str">
        <f ca="1">IFERROR(__xludf.DUMMYFUNCTION("""COMPUTED_VALUE"""),"-")</f>
        <v>-</v>
      </c>
      <c r="X157" s="14" t="str">
        <f ca="1">IFERROR(__xludf.DUMMYFUNCTION("""COMPUTED_VALUE"""),"-")</f>
        <v>-</v>
      </c>
      <c r="Y157" s="14" t="str">
        <f ca="1">IFERROR(__xludf.DUMMYFUNCTION("""COMPUTED_VALUE"""),"ja")</f>
        <v>ja</v>
      </c>
      <c r="Z157" s="14"/>
      <c r="AA157" s="14"/>
      <c r="AB157" s="14" t="str">
        <f ca="1">IFERROR(__xludf.DUMMYFUNCTION("""COMPUTED_VALUE"""),"x")</f>
        <v>x</v>
      </c>
      <c r="AC157" s="14" t="str">
        <f ca="1">IFERROR(__xludf.DUMMYFUNCTION("""COMPUTED_VALUE"""),"x")</f>
        <v>x</v>
      </c>
    </row>
    <row r="158" spans="1:29" ht="12.5" x14ac:dyDescent="0.25">
      <c r="A158" s="14" t="str">
        <f ca="1">IFERROR(__xludf.DUMMYFUNCTION("""COMPUTED_VALUE"""),"Camilla")</f>
        <v>Camilla</v>
      </c>
      <c r="B158" s="14" t="str">
        <f ca="1">IFERROR(__xludf.DUMMYFUNCTION("""COMPUTED_VALUE"""),"Bolig 24-7 v/Svenne Nielsen")</f>
        <v>Bolig 24-7 v/Svenne Nielsen</v>
      </c>
      <c r="C158" s="14">
        <f ca="1">IFERROR(__xludf.DUMMYFUNCTION("""COMPUTED_VALUE"""),27042430)</f>
        <v>27042430</v>
      </c>
      <c r="D158" s="14" t="str">
        <f ca="1">IFERROR(__xludf.DUMMYFUNCTION("""COMPUTED_VALUE"""),"MG-JY: 2.499,-")</f>
        <v>MG-JY: 2.499,-</v>
      </c>
      <c r="E158" s="14">
        <f ca="1">IFERROR(__xludf.DUMMYFUNCTION("""COMPUTED_VALUE"""),1201)</f>
        <v>1201</v>
      </c>
      <c r="F158" s="14" t="str">
        <f ca="1">IFERROR(__xludf.DUMMYFUNCTION("""COMPUTED_VALUE"""),"Svenne Nielsen")</f>
        <v>Svenne Nielsen</v>
      </c>
      <c r="G158" s="14" t="str">
        <f ca="1">IFERROR(__xludf.DUMMYFUNCTION("""COMPUTED_VALUE"""),"sve@bolig24-7.dk")</f>
        <v>sve@bolig24-7.dk</v>
      </c>
      <c r="H158" s="14">
        <f ca="1">IFERROR(__xludf.DUMMYFUNCTION("""COMPUTED_VALUE"""),23276580)</f>
        <v>23276580</v>
      </c>
      <c r="I158" s="14" t="str">
        <f ca="1">IFERROR(__xludf.DUMMYFUNCTION("""COMPUTED_VALUE"""),"Fyrrelunden 53")</f>
        <v>Fyrrelunden 53</v>
      </c>
      <c r="J158" s="14">
        <f ca="1">IFERROR(__xludf.DUMMYFUNCTION("""COMPUTED_VALUE"""),6705)</f>
        <v>6705</v>
      </c>
      <c r="K158" s="14" t="str">
        <f ca="1">IFERROR(__xludf.DUMMYFUNCTION("""COMPUTED_VALUE"""),"Esbjerg Ø")</f>
        <v>Esbjerg Ø</v>
      </c>
      <c r="L158" s="14" t="str">
        <f ca="1">IFERROR(__xludf.DUMMYFUNCTION("""COMPUTED_VALUE"""),"Esbjerg")</f>
        <v>Esbjerg</v>
      </c>
      <c r="M158" s="14" t="str">
        <f ca="1">IFERROR(__xludf.DUMMYFUNCTION("""COMPUTED_VALUE"""),"Sydjylland")</f>
        <v>Sydjylland</v>
      </c>
      <c r="N158" s="14" t="str">
        <f ca="1">IFERROR(__xludf.DUMMYFUNCTION("""COMPUTED_VALUE"""),"Syddanmark")</f>
        <v>Syddanmark</v>
      </c>
      <c r="O158" s="14">
        <f ca="1">IFERROR(__xludf.DUMMYFUNCTION("""COMPUTED_VALUE"""),23276580)</f>
        <v>23276580</v>
      </c>
      <c r="P158" s="14" t="str">
        <f ca="1">IFERROR(__xludf.DUMMYFUNCTION("""COMPUTED_VALUE"""),"sve@bolig24-7.dk")</f>
        <v>sve@bolig24-7.dk</v>
      </c>
      <c r="Q158" s="15" t="str">
        <f ca="1">IFERROR(__xludf.DUMMYFUNCTION("""COMPUTED_VALUE"""),"https://www.boliga.dk/maegler/26895")</f>
        <v>https://www.boliga.dk/maegler/26895</v>
      </c>
      <c r="R158" s="14" t="str">
        <f ca="1">IFERROR(__xludf.DUMMYFUNCTION("""COMPUTED_VALUE"""),"-")</f>
        <v>-</v>
      </c>
      <c r="S158" s="14" t="str">
        <f ca="1">IFERROR(__xludf.DUMMYFUNCTION("""COMPUTED_VALUE"""),"-")</f>
        <v>-</v>
      </c>
      <c r="T158" s="14" t="str">
        <f ca="1">IFERROR(__xludf.DUMMYFUNCTION("""COMPUTED_VALUE"""),"-")</f>
        <v>-</v>
      </c>
      <c r="U158" s="14">
        <f ca="1">IFERROR(__xludf.DUMMYFUNCTION("""COMPUTED_VALUE"""),4)</f>
        <v>4</v>
      </c>
      <c r="V158" s="14" t="str">
        <f ca="1">IFERROR(__xludf.DUMMYFUNCTION("""COMPUTED_VALUE"""),"6700, 6705, 6731")</f>
        <v>6700, 6705, 6731</v>
      </c>
      <c r="W158" s="14">
        <f ca="1">IFERROR(__xludf.DUMMYFUNCTION("""COMPUTED_VALUE"""),6)</f>
        <v>6</v>
      </c>
      <c r="X158" s="14" t="str">
        <f ca="1">IFERROR(__xludf.DUMMYFUNCTION("""COMPUTED_VALUE"""),"6700, 6715, 6710")</f>
        <v>6700, 6715, 6710</v>
      </c>
      <c r="Y158" s="14" t="str">
        <f ca="1">IFERROR(__xludf.DUMMYFUNCTION("""COMPUTED_VALUE"""),"ja")</f>
        <v>ja</v>
      </c>
      <c r="Z158" s="14"/>
      <c r="AA158" s="14"/>
      <c r="AB158" s="14" t="str">
        <f ca="1">IFERROR(__xludf.DUMMYFUNCTION("""COMPUTED_VALUE"""),"x")</f>
        <v>x</v>
      </c>
      <c r="AC158" s="14" t="str">
        <f ca="1">IFERROR(__xludf.DUMMYFUNCTION("""COMPUTED_VALUE"""),"x")</f>
        <v>x</v>
      </c>
    </row>
    <row r="159" spans="1:29" ht="12.5" x14ac:dyDescent="0.25">
      <c r="A159" s="14" t="str">
        <f ca="1">IFERROR(__xludf.DUMMYFUNCTION("""COMPUTED_VALUE"""),"Camilla")</f>
        <v>Camilla</v>
      </c>
      <c r="B159" s="14" t="str">
        <f ca="1">IFERROR(__xludf.DUMMYFUNCTION("""COMPUTED_VALUE"""),"BoligKolding")</f>
        <v>BoligKolding</v>
      </c>
      <c r="C159" s="14">
        <f ca="1">IFERROR(__xludf.DUMMYFUNCTION("""COMPUTED_VALUE"""),39428067)</f>
        <v>39428067</v>
      </c>
      <c r="D159" s="14" t="str">
        <f ca="1">IFERROR(__xludf.DUMMYFUNCTION("""COMPUTED_VALUE"""),"MG-JY: 2.499,-")</f>
        <v>MG-JY: 2.499,-</v>
      </c>
      <c r="E159" s="14">
        <f ca="1">IFERROR(__xludf.DUMMYFUNCTION("""COMPUTED_VALUE"""),1201)</f>
        <v>1201</v>
      </c>
      <c r="F159" s="14" t="str">
        <f ca="1">IFERROR(__xludf.DUMMYFUNCTION("""COMPUTED_VALUE"""),"Erik Steenholdt")</f>
        <v>Erik Steenholdt</v>
      </c>
      <c r="G159" s="14" t="str">
        <f ca="1">IFERROR(__xludf.DUMMYFUNCTION("""COMPUTED_VALUE"""),"es@boligkolding.dk")</f>
        <v>es@boligkolding.dk</v>
      </c>
      <c r="H159" s="14">
        <f ca="1">IFERROR(__xludf.DUMMYFUNCTION("""COMPUTED_VALUE"""),75522424)</f>
        <v>75522424</v>
      </c>
      <c r="I159" s="14" t="str">
        <f ca="1">IFERROR(__xludf.DUMMYFUNCTION("""COMPUTED_VALUE"""),"Haderslevvej 156")</f>
        <v>Haderslevvej 156</v>
      </c>
      <c r="J159" s="14">
        <f ca="1">IFERROR(__xludf.DUMMYFUNCTION("""COMPUTED_VALUE"""),6000)</f>
        <v>6000</v>
      </c>
      <c r="K159" s="14" t="str">
        <f ca="1">IFERROR(__xludf.DUMMYFUNCTION("""COMPUTED_VALUE"""),"Kolding")</f>
        <v>Kolding</v>
      </c>
      <c r="L159" s="14" t="str">
        <f ca="1">IFERROR(__xludf.DUMMYFUNCTION("""COMPUTED_VALUE"""),"Kolding")</f>
        <v>Kolding</v>
      </c>
      <c r="M159" s="14" t="str">
        <f ca="1">IFERROR(__xludf.DUMMYFUNCTION("""COMPUTED_VALUE"""),"Sydjylland")</f>
        <v>Sydjylland</v>
      </c>
      <c r="N159" s="14" t="str">
        <f ca="1">IFERROR(__xludf.DUMMYFUNCTION("""COMPUTED_VALUE"""),"Syddanmark")</f>
        <v>Syddanmark</v>
      </c>
      <c r="O159" s="14">
        <f ca="1">IFERROR(__xludf.DUMMYFUNCTION("""COMPUTED_VALUE"""),75522424)</f>
        <v>75522424</v>
      </c>
      <c r="P159" s="14" t="str">
        <f ca="1">IFERROR(__xludf.DUMMYFUNCTION("""COMPUTED_VALUE"""),"6000@boligkolding.dk")</f>
        <v>6000@boligkolding.dk</v>
      </c>
      <c r="Q159" s="15" t="str">
        <f ca="1">IFERROR(__xludf.DUMMYFUNCTION("""COMPUTED_VALUE"""),"https://www.boliga.dk/maegler/25063")</f>
        <v>https://www.boliga.dk/maegler/25063</v>
      </c>
      <c r="R159" s="14" t="str">
        <f ca="1">IFERROR(__xludf.DUMMYFUNCTION("""COMPUTED_VALUE"""),"-")</f>
        <v>-</v>
      </c>
      <c r="S159" s="14" t="str">
        <f ca="1">IFERROR(__xludf.DUMMYFUNCTION("""COMPUTED_VALUE"""),"-")</f>
        <v>-</v>
      </c>
      <c r="T159" s="14" t="str">
        <f ca="1">IFERROR(__xludf.DUMMYFUNCTION("""COMPUTED_VALUE"""),"-")</f>
        <v>-</v>
      </c>
      <c r="U159" s="14">
        <f ca="1">IFERROR(__xludf.DUMMYFUNCTION("""COMPUTED_VALUE"""),13)</f>
        <v>13</v>
      </c>
      <c r="V159" s="14" t="str">
        <f ca="1">IFERROR(__xludf.DUMMYFUNCTION("""COMPUTED_VALUE"""),"6091, 6000, 6094, 6580, 6960")</f>
        <v>6091, 6000, 6094, 6580, 6960</v>
      </c>
      <c r="W159" s="14">
        <f ca="1">IFERROR(__xludf.DUMMYFUNCTION("""COMPUTED_VALUE"""),6)</f>
        <v>6</v>
      </c>
      <c r="X159" s="14" t="str">
        <f ca="1">IFERROR(__xludf.DUMMYFUNCTION("""COMPUTED_VALUE"""),"6000, 6091")</f>
        <v>6000, 6091</v>
      </c>
      <c r="Y159" s="14" t="str">
        <f ca="1">IFERROR(__xludf.DUMMYFUNCTION("""COMPUTED_VALUE"""),"ja")</f>
        <v>ja</v>
      </c>
      <c r="Z159" s="14"/>
      <c r="AA159" s="14"/>
      <c r="AB159" s="14" t="str">
        <f ca="1">IFERROR(__xludf.DUMMYFUNCTION("""COMPUTED_VALUE"""),"x")</f>
        <v>x</v>
      </c>
      <c r="AC159" s="14" t="str">
        <f ca="1">IFERROR(__xludf.DUMMYFUNCTION("""COMPUTED_VALUE"""),"x")</f>
        <v>x</v>
      </c>
    </row>
    <row r="160" spans="1:29" ht="12.5" x14ac:dyDescent="0.25">
      <c r="A160" s="14" t="str">
        <f ca="1">IFERROR(__xludf.DUMMYFUNCTION("""COMPUTED_VALUE"""),"Camilla")</f>
        <v>Camilla</v>
      </c>
      <c r="B160" s="14" t="str">
        <f ca="1">IFERROR(__xludf.DUMMYFUNCTION("""COMPUTED_VALUE"""),"BoligOne Tina Lybæk")</f>
        <v>BoligOne Tina Lybæk</v>
      </c>
      <c r="C160" s="14">
        <f ca="1">IFERROR(__xludf.DUMMYFUNCTION("""COMPUTED_VALUE"""),35959688)</f>
        <v>35959688</v>
      </c>
      <c r="D160" s="14" t="str">
        <f ca="1">IFERROR(__xludf.DUMMYFUNCTION("""COMPUTED_VALUE"""),"MG-JY: 2.499,-")</f>
        <v>MG-JY: 2.499,-</v>
      </c>
      <c r="E160" s="14">
        <f ca="1">IFERROR(__xludf.DUMMYFUNCTION("""COMPUTED_VALUE"""),1201)</f>
        <v>1201</v>
      </c>
      <c r="F160" s="14" t="str">
        <f ca="1">IFERROR(__xludf.DUMMYFUNCTION("""COMPUTED_VALUE"""),"Tina Lybæk")</f>
        <v>Tina Lybæk</v>
      </c>
      <c r="G160" s="15" t="str">
        <f ca="1">IFERROR(__xludf.DUMMYFUNCTION("""COMPUTED_VALUE"""),"tly@boligone.dk")</f>
        <v>tly@boligone.dk</v>
      </c>
      <c r="H160" s="14">
        <f ca="1">IFERROR(__xludf.DUMMYFUNCTION("""COMPUTED_VALUE"""),60425410)</f>
        <v>60425410</v>
      </c>
      <c r="I160" s="14" t="str">
        <f ca="1">IFERROR(__xludf.DUMMYFUNCTION("""COMPUTED_VALUE"""),"Røjleskovvej 19")</f>
        <v>Røjleskovvej 19</v>
      </c>
      <c r="J160" s="14">
        <f ca="1">IFERROR(__xludf.DUMMYFUNCTION("""COMPUTED_VALUE"""),5500)</f>
        <v>5500</v>
      </c>
      <c r="K160" s="14" t="str">
        <f ca="1">IFERROR(__xludf.DUMMYFUNCTION("""COMPUTED_VALUE"""),"Middelfart")</f>
        <v>Middelfart</v>
      </c>
      <c r="L160" s="14" t="str">
        <f ca="1">IFERROR(__xludf.DUMMYFUNCTION("""COMPUTED_VALUE"""),"Middelfart")</f>
        <v>Middelfart</v>
      </c>
      <c r="M160" s="14" t="str">
        <f ca="1">IFERROR(__xludf.DUMMYFUNCTION("""COMPUTED_VALUE"""),"Fyn")</f>
        <v>Fyn</v>
      </c>
      <c r="N160" s="14" t="str">
        <f ca="1">IFERROR(__xludf.DUMMYFUNCTION("""COMPUTED_VALUE"""),"Syddanmark")</f>
        <v>Syddanmark</v>
      </c>
      <c r="O160" s="14">
        <f ca="1">IFERROR(__xludf.DUMMYFUNCTION("""COMPUTED_VALUE"""),60425410)</f>
        <v>60425410</v>
      </c>
      <c r="P160" s="14" t="str">
        <f ca="1">IFERROR(__xludf.DUMMYFUNCTION("""COMPUTED_VALUE"""),"tly@boligone.dk")</f>
        <v>tly@boligone.dk</v>
      </c>
      <c r="Q160" s="15" t="str">
        <f ca="1">IFERROR(__xludf.DUMMYFUNCTION("""COMPUTED_VALUE"""),"https://www.boliga.dk/maegler/28361")</f>
        <v>https://www.boliga.dk/maegler/28361</v>
      </c>
      <c r="R160" s="14" t="str">
        <f ca="1">IFERROR(__xludf.DUMMYFUNCTION("""COMPUTED_VALUE"""),"-")</f>
        <v>-</v>
      </c>
      <c r="S160" s="14" t="str">
        <f ca="1">IFERROR(__xludf.DUMMYFUNCTION("""COMPUTED_VALUE"""),"-")</f>
        <v>-</v>
      </c>
      <c r="T160" s="14" t="str">
        <f ca="1">IFERROR(__xludf.DUMMYFUNCTION("""COMPUTED_VALUE"""),"-")</f>
        <v>-</v>
      </c>
      <c r="U160" s="14">
        <f ca="1">IFERROR(__xludf.DUMMYFUNCTION("""COMPUTED_VALUE"""),6)</f>
        <v>6</v>
      </c>
      <c r="V160" s="14" t="str">
        <f ca="1">IFERROR(__xludf.DUMMYFUNCTION("""COMPUTED_VALUE"""),"5580, 5500, 5591, 6000, 5466")</f>
        <v>5580, 5500, 5591, 6000, 5466</v>
      </c>
      <c r="W160" s="14">
        <f ca="1">IFERROR(__xludf.DUMMYFUNCTION("""COMPUTED_VALUE"""),7)</f>
        <v>7</v>
      </c>
      <c r="X160" s="14" t="str">
        <f ca="1">IFERROR(__xludf.DUMMYFUNCTION("""COMPUTED_VALUE"""),"6094, 7000, 5464, 5463, 5500")</f>
        <v>6094, 7000, 5464, 5463, 5500</v>
      </c>
      <c r="Y160" s="14" t="str">
        <f ca="1">IFERROR(__xludf.DUMMYFUNCTION("""COMPUTED_VALUE"""),"ja")</f>
        <v>ja</v>
      </c>
      <c r="Z160" s="14"/>
      <c r="AA160" s="14"/>
      <c r="AB160" s="14" t="str">
        <f ca="1">IFERROR(__xludf.DUMMYFUNCTION("""COMPUTED_VALUE"""),"x")</f>
        <v>x</v>
      </c>
      <c r="AC160" s="14" t="str">
        <f ca="1">IFERROR(__xludf.DUMMYFUNCTION("""COMPUTED_VALUE"""),"x")</f>
        <v>x</v>
      </c>
    </row>
    <row r="161" spans="1:29" ht="12.5" x14ac:dyDescent="0.25">
      <c r="A161" s="14" t="str">
        <f ca="1">IFERROR(__xludf.DUMMYFUNCTION("""COMPUTED_VALUE"""),"Camilla")</f>
        <v>Camilla</v>
      </c>
      <c r="B161" s="14" t="str">
        <f ca="1">IFERROR(__xludf.DUMMYFUNCTION("""COMPUTED_VALUE"""),"boligtilbolig.dk a/s")</f>
        <v>boligtilbolig.dk a/s</v>
      </c>
      <c r="C161" s="14">
        <f ca="1">IFERROR(__xludf.DUMMYFUNCTION("""COMPUTED_VALUE"""),28483929)</f>
        <v>28483929</v>
      </c>
      <c r="D161" s="14" t="str">
        <f ca="1">IFERROR(__xludf.DUMMYFUNCTION("""COMPUTED_VALUE"""),"MG-JY: 2.499,-")</f>
        <v>MG-JY: 2.499,-</v>
      </c>
      <c r="E161" s="14">
        <f ca="1">IFERROR(__xludf.DUMMYFUNCTION("""COMPUTED_VALUE"""),1201)</f>
        <v>1201</v>
      </c>
      <c r="F161" s="14" t="str">
        <f ca="1">IFERROR(__xludf.DUMMYFUNCTION("""COMPUTED_VALUE"""),"Thomas Kildemoes")</f>
        <v>Thomas Kildemoes</v>
      </c>
      <c r="G161" s="14" t="str">
        <f ca="1">IFERROR(__xludf.DUMMYFUNCTION("""COMPUTED_VALUE"""),"tk@boligtilbolig.dk")</f>
        <v>tk@boligtilbolig.dk</v>
      </c>
      <c r="H161" s="14">
        <f ca="1">IFERROR(__xludf.DUMMYFUNCTION("""COMPUTED_VALUE"""),40318010)</f>
        <v>40318010</v>
      </c>
      <c r="I161" s="14" t="str">
        <f ca="1">IFERROR(__xludf.DUMMYFUNCTION("""COMPUTED_VALUE"""),"Asylgade 13")</f>
        <v>Asylgade 13</v>
      </c>
      <c r="J161" s="14">
        <f ca="1">IFERROR(__xludf.DUMMYFUNCTION("""COMPUTED_VALUE"""),5000)</f>
        <v>5000</v>
      </c>
      <c r="K161" s="14" t="str">
        <f ca="1">IFERROR(__xludf.DUMMYFUNCTION("""COMPUTED_VALUE"""),"Odense C")</f>
        <v>Odense C</v>
      </c>
      <c r="L161" s="14" t="str">
        <f ca="1">IFERROR(__xludf.DUMMYFUNCTION("""COMPUTED_VALUE"""),"Odense")</f>
        <v>Odense</v>
      </c>
      <c r="M161" s="14" t="str">
        <f ca="1">IFERROR(__xludf.DUMMYFUNCTION("""COMPUTED_VALUE"""),"Fyn")</f>
        <v>Fyn</v>
      </c>
      <c r="N161" s="14" t="str">
        <f ca="1">IFERROR(__xludf.DUMMYFUNCTION("""COMPUTED_VALUE"""),"Syddanmark")</f>
        <v>Syddanmark</v>
      </c>
      <c r="O161" s="14" t="str">
        <f ca="1">IFERROR(__xludf.DUMMYFUNCTION("""COMPUTED_VALUE"""),"7020 2-4-6-8")</f>
        <v>7020 2-4-6-8</v>
      </c>
      <c r="P161" s="14" t="str">
        <f ca="1">IFERROR(__xludf.DUMMYFUNCTION("""COMPUTED_VALUE"""),"odense@boligtilbolig.dk")</f>
        <v>odense@boligtilbolig.dk</v>
      </c>
      <c r="Q161" s="15" t="str">
        <f ca="1">IFERROR(__xludf.DUMMYFUNCTION("""COMPUTED_VALUE"""),"https://www.boliga.dk/maegler/17200")</f>
        <v>https://www.boliga.dk/maegler/17200</v>
      </c>
      <c r="R161" s="14" t="str">
        <f ca="1">IFERROR(__xludf.DUMMYFUNCTION("""COMPUTED_VALUE"""),"-")</f>
        <v>-</v>
      </c>
      <c r="S161" s="14" t="str">
        <f ca="1">IFERROR(__xludf.DUMMYFUNCTION("""COMPUTED_VALUE"""),"-")</f>
        <v>-</v>
      </c>
      <c r="T161" s="14" t="str">
        <f ca="1">IFERROR(__xludf.DUMMYFUNCTION("""COMPUTED_VALUE"""),"-")</f>
        <v>-</v>
      </c>
      <c r="U161" s="14">
        <f ca="1">IFERROR(__xludf.DUMMYFUNCTION("""COMPUTED_VALUE"""),73)</f>
        <v>73</v>
      </c>
      <c r="V161" s="14" t="str">
        <f ca="1">IFERROR(__xludf.DUMMYFUNCTION("""COMPUTED_VALUE"""),"5250, 5230, 5463, 5320, 5260, 5200, 5874, 5210, 5560, 5270, 5932, 5400, 5600, 5631, 5700, 5240, 5471, 5466, 5690, 5464, 5762, 5492, 5750, 5610, 5853, 5580, 5854, 5620, 5953, 5683, 5800, 5900")</f>
        <v>5250, 5230, 5463, 5320, 5260, 5200, 5874, 5210, 5560, 5270, 5932, 5400, 5600, 5631, 5700, 5240, 5471, 5466, 5690, 5464, 5762, 5492, 5750, 5610, 5853, 5580, 5854, 5620, 5953, 5683, 5800, 5900</v>
      </c>
      <c r="W161" s="14">
        <f ca="1">IFERROR(__xludf.DUMMYFUNCTION("""COMPUTED_VALUE"""),30)</f>
        <v>30</v>
      </c>
      <c r="X161" s="14" t="str">
        <f ca="1">IFERROR(__xludf.DUMMYFUNCTION("""COMPUTED_VALUE"""),"5220, 5200, 5260, 5450, 5881, 5000, 5560, 5210, 5700, 5690, 5580, 5270, 5610, 5853, 5620, 5642, 5683, 5800, 5900")</f>
        <v>5220, 5200, 5260, 5450, 5881, 5000, 5560, 5210, 5700, 5690, 5580, 5270, 5610, 5853, 5620, 5642, 5683, 5800, 5900</v>
      </c>
      <c r="Y161" s="14" t="str">
        <f ca="1">IFERROR(__xludf.DUMMYFUNCTION("""COMPUTED_VALUE"""),"ja")</f>
        <v>ja</v>
      </c>
      <c r="Z161" s="14"/>
      <c r="AA161" s="14"/>
      <c r="AB161" s="14" t="str">
        <f ca="1">IFERROR(__xludf.DUMMYFUNCTION("""COMPUTED_VALUE"""),"x")</f>
        <v>x</v>
      </c>
      <c r="AC161" s="14" t="str">
        <f ca="1">IFERROR(__xludf.DUMMYFUNCTION("""COMPUTED_VALUE"""),"x")</f>
        <v>x</v>
      </c>
    </row>
    <row r="162" spans="1:29" ht="12.5" x14ac:dyDescent="0.25">
      <c r="A162" s="14" t="str">
        <f ca="1">IFERROR(__xludf.DUMMYFUNCTION("""COMPUTED_VALUE"""),"Camilla")</f>
        <v>Camilla</v>
      </c>
      <c r="B162" s="14" t="str">
        <f ca="1">IFERROR(__xludf.DUMMYFUNCTION("""COMPUTED_VALUE"""),"Angelo-Dose Bolig")</f>
        <v>Angelo-Dose Bolig</v>
      </c>
      <c r="C162" s="14">
        <f ca="1">IFERROR(__xludf.DUMMYFUNCTION("""COMPUTED_VALUE"""),27714846)</f>
        <v>27714846</v>
      </c>
      <c r="D162" s="14" t="str">
        <f ca="1">IFERROR(__xludf.DUMMYFUNCTION("""COMPUTED_VALUE"""),"MG-JY: 2.499,-")</f>
        <v>MG-JY: 2.499,-</v>
      </c>
      <c r="E162" s="14">
        <f ca="1">IFERROR(__xludf.DUMMYFUNCTION("""COMPUTED_VALUE"""),1201)</f>
        <v>1201</v>
      </c>
      <c r="F162" s="14" t="str">
        <f ca="1">IFERROR(__xludf.DUMMYFUNCTION("""COMPUTED_VALUE"""),"Thomas Dose")</f>
        <v>Thomas Dose</v>
      </c>
      <c r="G162" s="14" t="str">
        <f ca="1">IFERROR(__xludf.DUMMYFUNCTION("""COMPUTED_VALUE"""),"info@angelo-dose.dk")</f>
        <v>info@angelo-dose.dk</v>
      </c>
      <c r="H162" s="14">
        <f ca="1">IFERROR(__xludf.DUMMYFUNCTION("""COMPUTED_VALUE"""),73707303)</f>
        <v>73707303</v>
      </c>
      <c r="I162" s="14"/>
      <c r="J162" s="14"/>
      <c r="K162" s="14"/>
      <c r="L162" s="14"/>
      <c r="M162" s="14"/>
      <c r="N162" s="14"/>
      <c r="O162" s="14"/>
      <c r="P162" s="14"/>
      <c r="Q162" s="15" t="str">
        <f ca="1">IFERROR(__xludf.DUMMYFUNCTION("""COMPUTED_VALUE"""),"https://www.boliga.dk/maegler/29105")</f>
        <v>https://www.boliga.dk/maegler/29105</v>
      </c>
      <c r="R162" s="14"/>
      <c r="S162" s="14"/>
      <c r="T162" s="14"/>
      <c r="U162" s="14"/>
      <c r="V162" s="14"/>
      <c r="W162" s="14"/>
      <c r="X162" s="14"/>
      <c r="Y162" s="14" t="str">
        <f ca="1">IFERROR(__xludf.DUMMYFUNCTION("""COMPUTED_VALUE"""),"ja")</f>
        <v>ja</v>
      </c>
      <c r="Z162" s="14"/>
      <c r="AA162" s="14"/>
      <c r="AB162" s="14" t="str">
        <f ca="1">IFERROR(__xludf.DUMMYFUNCTION("""COMPUTED_VALUE"""),"x")</f>
        <v>x</v>
      </c>
      <c r="AC162" s="14" t="str">
        <f ca="1">IFERROR(__xludf.DUMMYFUNCTION("""COMPUTED_VALUE"""),"x")</f>
        <v>x</v>
      </c>
    </row>
    <row r="163" spans="1:29" ht="12.5" x14ac:dyDescent="0.25">
      <c r="A163" s="14" t="str">
        <f ca="1">IFERROR(__xludf.DUMMYFUNCTION("""COMPUTED_VALUE"""),"Camilla")</f>
        <v>Camilla</v>
      </c>
      <c r="B163" s="14" t="str">
        <f ca="1">IFERROR(__xludf.DUMMYFUNCTION("""COMPUTED_VALUE"""),"Ejendomsmægler Frank Risgaard Lauritzen")</f>
        <v>Ejendomsmægler Frank Risgaard Lauritzen</v>
      </c>
      <c r="C163" s="14">
        <f ca="1">IFERROR(__xludf.DUMMYFUNCTION("""COMPUTED_VALUE"""),29636222)</f>
        <v>29636222</v>
      </c>
      <c r="D163" s="14" t="str">
        <f ca="1">IFERROR(__xludf.DUMMYFUNCTION("""COMPUTED_VALUE"""),"MG-JY: 2.499,-")</f>
        <v>MG-JY: 2.499,-</v>
      </c>
      <c r="E163" s="14">
        <f ca="1">IFERROR(__xludf.DUMMYFUNCTION("""COMPUTED_VALUE"""),1201)</f>
        <v>1201</v>
      </c>
      <c r="F163" s="14" t="str">
        <f ca="1">IFERROR(__xludf.DUMMYFUNCTION("""COMPUTED_VALUE"""),"Frank Lauritzen")</f>
        <v>Frank Lauritzen</v>
      </c>
      <c r="G163" s="14" t="str">
        <f ca="1">IFERROR(__xludf.DUMMYFUNCTION("""COMPUTED_VALUE"""),"6780@franklauritzen.dk")</f>
        <v>6780@franklauritzen.dk</v>
      </c>
      <c r="H163" s="14">
        <f ca="1">IFERROR(__xludf.DUMMYFUNCTION("""COMPUTED_VALUE"""),74752627)</f>
        <v>74752627</v>
      </c>
      <c r="I163" s="14" t="str">
        <f ca="1">IFERROR(__xludf.DUMMYFUNCTION("""COMPUTED_VALUE"""),"Storegade 37")</f>
        <v>Storegade 37</v>
      </c>
      <c r="J163" s="14">
        <f ca="1">IFERROR(__xludf.DUMMYFUNCTION("""COMPUTED_VALUE"""),6780)</f>
        <v>6780</v>
      </c>
      <c r="K163" s="14" t="str">
        <f ca="1">IFERROR(__xludf.DUMMYFUNCTION("""COMPUTED_VALUE"""),"Skærbæk")</f>
        <v>Skærbæk</v>
      </c>
      <c r="L163" s="14" t="str">
        <f ca="1">IFERROR(__xludf.DUMMYFUNCTION("""COMPUTED_VALUE"""),"Tønder")</f>
        <v>Tønder</v>
      </c>
      <c r="M163" s="14" t="str">
        <f ca="1">IFERROR(__xludf.DUMMYFUNCTION("""COMPUTED_VALUE"""),"Sydjylland")</f>
        <v>Sydjylland</v>
      </c>
      <c r="N163" s="14" t="str">
        <f ca="1">IFERROR(__xludf.DUMMYFUNCTION("""COMPUTED_VALUE"""),"Syddanmark")</f>
        <v>Syddanmark</v>
      </c>
      <c r="O163" s="14">
        <f ca="1">IFERROR(__xludf.DUMMYFUNCTION("""COMPUTED_VALUE"""),74752627)</f>
        <v>74752627</v>
      </c>
      <c r="P163" s="14" t="str">
        <f ca="1">IFERROR(__xludf.DUMMYFUNCTION("""COMPUTED_VALUE"""),"6780@franklauritzen.dk")</f>
        <v>6780@franklauritzen.dk</v>
      </c>
      <c r="Q163" s="15" t="str">
        <f ca="1">IFERROR(__xludf.DUMMYFUNCTION("""COMPUTED_VALUE"""),"https://www.boliga.dk/maegler/26239")</f>
        <v>https://www.boliga.dk/maegler/26239</v>
      </c>
      <c r="R163" s="14" t="str">
        <f ca="1">IFERROR(__xludf.DUMMYFUNCTION("""COMPUTED_VALUE"""),"-")</f>
        <v>-</v>
      </c>
      <c r="S163" s="14" t="str">
        <f ca="1">IFERROR(__xludf.DUMMYFUNCTION("""COMPUTED_VALUE"""),"-")</f>
        <v>-</v>
      </c>
      <c r="T163" s="14" t="str">
        <f ca="1">IFERROR(__xludf.DUMMYFUNCTION("""COMPUTED_VALUE"""),"-")</f>
        <v>-</v>
      </c>
      <c r="U163" s="14">
        <f ca="1">IFERROR(__xludf.DUMMYFUNCTION("""COMPUTED_VALUE"""),56)</f>
        <v>56</v>
      </c>
      <c r="V163" s="14" t="str">
        <f ca="1">IFERROR(__xludf.DUMMYFUNCTION("""COMPUTED_VALUE"""),"6270, 6792, 6261, 6280, 6240, 6520, 6372, 6780")</f>
        <v>6270, 6792, 6261, 6280, 6240, 6520, 6372, 6780</v>
      </c>
      <c r="W163" s="14">
        <f ca="1">IFERROR(__xludf.DUMMYFUNCTION("""COMPUTED_VALUE"""),28)</f>
        <v>28</v>
      </c>
      <c r="X163" s="14" t="str">
        <f ca="1">IFERROR(__xludf.DUMMYFUNCTION("""COMPUTED_VALUE"""),"6261, 6792, 6280, 6780")</f>
        <v>6261, 6792, 6280, 6780</v>
      </c>
      <c r="Y163" s="14" t="str">
        <f ca="1">IFERROR(__xludf.DUMMYFUNCTION("""COMPUTED_VALUE"""),"ja")</f>
        <v>ja</v>
      </c>
      <c r="Z163" s="14"/>
      <c r="AA163" s="14"/>
      <c r="AB163" s="14" t="str">
        <f ca="1">IFERROR(__xludf.DUMMYFUNCTION("""COMPUTED_VALUE"""),"x")</f>
        <v>x</v>
      </c>
      <c r="AC163" s="14" t="str">
        <f ca="1">IFERROR(__xludf.DUMMYFUNCTION("""COMPUTED_VALUE"""),"x")</f>
        <v>x</v>
      </c>
    </row>
    <row r="164" spans="1:29" ht="12.5" x14ac:dyDescent="0.25">
      <c r="A164" s="14" t="str">
        <f ca="1">IFERROR(__xludf.DUMMYFUNCTION("""COMPUTED_VALUE"""),"Camilla")</f>
        <v>Camilla</v>
      </c>
      <c r="B164" s="14" t="str">
        <f ca="1">IFERROR(__xludf.DUMMYFUNCTION("""COMPUTED_VALUE"""),"Ejendomsmæglerfirmaet Eckhardt")</f>
        <v>Ejendomsmæglerfirmaet Eckhardt</v>
      </c>
      <c r="C164" s="14">
        <f ca="1">IFERROR(__xludf.DUMMYFUNCTION("""COMPUTED_VALUE"""),41837268)</f>
        <v>41837268</v>
      </c>
      <c r="D164" s="14" t="str">
        <f ca="1">IFERROR(__xludf.DUMMYFUNCTION("""COMPUTED_VALUE"""),"MG-JY: 2.499,-")</f>
        <v>MG-JY: 2.499,-</v>
      </c>
      <c r="E164" s="14">
        <f ca="1">IFERROR(__xludf.DUMMYFUNCTION("""COMPUTED_VALUE"""),1201)</f>
        <v>1201</v>
      </c>
      <c r="F164" s="14" t="str">
        <f ca="1">IFERROR(__xludf.DUMMYFUNCTION("""COMPUTED_VALUE"""),"Nicky Eckhardt")</f>
        <v>Nicky Eckhardt</v>
      </c>
      <c r="G164" s="14" t="str">
        <f ca="1">IFERROR(__xludf.DUMMYFUNCTION("""COMPUTED_VALUE"""),"ne@eeckhardt.dk")</f>
        <v>ne@eeckhardt.dk</v>
      </c>
      <c r="H164" s="14">
        <f ca="1">IFERROR(__xludf.DUMMYFUNCTION("""COMPUTED_VALUE"""),23100402)</f>
        <v>23100402</v>
      </c>
      <c r="I164" s="14" t="str">
        <f ca="1">IFERROR(__xludf.DUMMYFUNCTION("""COMPUTED_VALUE"""),"Platanvej 45")</f>
        <v>Platanvej 45</v>
      </c>
      <c r="J164" s="14">
        <f ca="1">IFERROR(__xludf.DUMMYFUNCTION("""COMPUTED_VALUE"""),5230)</f>
        <v>5230</v>
      </c>
      <c r="K164" s="14" t="str">
        <f ca="1">IFERROR(__xludf.DUMMYFUNCTION("""COMPUTED_VALUE"""),"Odense M")</f>
        <v>Odense M</v>
      </c>
      <c r="L164" s="14" t="str">
        <f ca="1">IFERROR(__xludf.DUMMYFUNCTION("""COMPUTED_VALUE"""),"Odense")</f>
        <v>Odense</v>
      </c>
      <c r="M164" s="14" t="str">
        <f ca="1">IFERROR(__xludf.DUMMYFUNCTION("""COMPUTED_VALUE"""),"Fyn")</f>
        <v>Fyn</v>
      </c>
      <c r="N164" s="14" t="str">
        <f ca="1">IFERROR(__xludf.DUMMYFUNCTION("""COMPUTED_VALUE"""),"Syddanmark")</f>
        <v>Syddanmark</v>
      </c>
      <c r="O164" s="14">
        <f ca="1">IFERROR(__xludf.DUMMYFUNCTION("""COMPUTED_VALUE"""),23100402)</f>
        <v>23100402</v>
      </c>
      <c r="P164" s="14" t="str">
        <f ca="1">IFERROR(__xludf.DUMMYFUNCTION("""COMPUTED_VALUE"""),"ne@eeckhardt.dk")</f>
        <v>ne@eeckhardt.dk</v>
      </c>
      <c r="Q164" s="15" t="str">
        <f ca="1">IFERROR(__xludf.DUMMYFUNCTION("""COMPUTED_VALUE"""),"https://www.boliga.dk/maegler/28931")</f>
        <v>https://www.boliga.dk/maegler/28931</v>
      </c>
      <c r="R164" s="14" t="str">
        <f ca="1">IFERROR(__xludf.DUMMYFUNCTION("""COMPUTED_VALUE"""),"-")</f>
        <v>-</v>
      </c>
      <c r="S164" s="14" t="str">
        <f ca="1">IFERROR(__xludf.DUMMYFUNCTION("""COMPUTED_VALUE"""),"-")</f>
        <v>-</v>
      </c>
      <c r="T164" s="14" t="str">
        <f ca="1">IFERROR(__xludf.DUMMYFUNCTION("""COMPUTED_VALUE"""),"-")</f>
        <v>-</v>
      </c>
      <c r="U164" s="14">
        <f ca="1">IFERROR(__xludf.DUMMYFUNCTION("""COMPUTED_VALUE"""),9)</f>
        <v>9</v>
      </c>
      <c r="V164" s="14" t="str">
        <f ca="1">IFERROR(__xludf.DUMMYFUNCTION("""COMPUTED_VALUE"""),"5230, 5210, 5270, 5000, 5330, 5400, 5450, 5610")</f>
        <v>5230, 5210, 5270, 5000, 5330, 5400, 5450, 5610</v>
      </c>
      <c r="W164" s="14">
        <f ca="1">IFERROR(__xludf.DUMMYFUNCTION("""COMPUTED_VALUE"""),8)</f>
        <v>8</v>
      </c>
      <c r="X164" s="14" t="str">
        <f ca="1">IFERROR(__xludf.DUMMYFUNCTION("""COMPUTED_VALUE"""),"5466, 5210, 2630, 5610, 5491, 5750")</f>
        <v>5466, 5210, 2630, 5610, 5491, 5750</v>
      </c>
      <c r="Y164" s="14" t="str">
        <f ca="1">IFERROR(__xludf.DUMMYFUNCTION("""COMPUTED_VALUE"""),"ja")</f>
        <v>ja</v>
      </c>
      <c r="Z164" s="14"/>
      <c r="AA164" s="14"/>
      <c r="AB164" s="14" t="str">
        <f ca="1">IFERROR(__xludf.DUMMYFUNCTION("""COMPUTED_VALUE"""),"x")</f>
        <v>x</v>
      </c>
      <c r="AC164" s="14" t="str">
        <f ca="1">IFERROR(__xludf.DUMMYFUNCTION("""COMPUTED_VALUE"""),"x")</f>
        <v>x</v>
      </c>
    </row>
    <row r="165" spans="1:29" ht="12.5" x14ac:dyDescent="0.25">
      <c r="A165" s="14" t="str">
        <f ca="1">IFERROR(__xludf.DUMMYFUNCTION("""COMPUTED_VALUE"""),"Camilla")</f>
        <v>Camilla</v>
      </c>
      <c r="B165" s="14" t="str">
        <f ca="1">IFERROR(__xludf.DUMMYFUNCTION("""COMPUTED_VALUE"""),"Ejendomsmæglerfirmaet Jørgen Jochumsen")</f>
        <v>Ejendomsmæglerfirmaet Jørgen Jochumsen</v>
      </c>
      <c r="C165" s="14">
        <f ca="1">IFERROR(__xludf.DUMMYFUNCTION("""COMPUTED_VALUE"""),10803071)</f>
        <v>10803071</v>
      </c>
      <c r="D165" s="14" t="str">
        <f ca="1">IFERROR(__xludf.DUMMYFUNCTION("""COMPUTED_VALUE"""),"MG-JY: 2.499,-")</f>
        <v>MG-JY: 2.499,-</v>
      </c>
      <c r="E165" s="14">
        <f ca="1">IFERROR(__xludf.DUMMYFUNCTION("""COMPUTED_VALUE"""),1201)</f>
        <v>1201</v>
      </c>
      <c r="F165" s="14" t="str">
        <f ca="1">IFERROR(__xludf.DUMMYFUNCTION("""COMPUTED_VALUE"""),"Jørgen Jochumsen")</f>
        <v>Jørgen Jochumsen</v>
      </c>
      <c r="G165" s="14" t="str">
        <f ca="1">IFERROR(__xludf.DUMMYFUNCTION("""COMPUTED_VALUE"""),"jj@jj-bolig.dk")</f>
        <v>jj@jj-bolig.dk</v>
      </c>
      <c r="H165" s="14">
        <f ca="1">IFERROR(__xludf.DUMMYFUNCTION("""COMPUTED_VALUE"""),29296040)</f>
        <v>29296040</v>
      </c>
      <c r="I165" s="14" t="str">
        <f ca="1">IFERROR(__xludf.DUMMYFUNCTION("""COMPUTED_VALUE"""),"Boikenvænget 9")</f>
        <v>Boikenvænget 9</v>
      </c>
      <c r="J165" s="14">
        <f ca="1">IFERROR(__xludf.DUMMYFUNCTION("""COMPUTED_VALUE"""),5270)</f>
        <v>5270</v>
      </c>
      <c r="K165" s="14" t="str">
        <f ca="1">IFERROR(__xludf.DUMMYFUNCTION("""COMPUTED_VALUE"""),"Odense N")</f>
        <v>Odense N</v>
      </c>
      <c r="L165" s="14" t="str">
        <f ca="1">IFERROR(__xludf.DUMMYFUNCTION("""COMPUTED_VALUE"""),"Odense")</f>
        <v>Odense</v>
      </c>
      <c r="M165" s="14" t="str">
        <f ca="1">IFERROR(__xludf.DUMMYFUNCTION("""COMPUTED_VALUE"""),"Fyn")</f>
        <v>Fyn</v>
      </c>
      <c r="N165" s="14" t="str">
        <f ca="1">IFERROR(__xludf.DUMMYFUNCTION("""COMPUTED_VALUE"""),"Syddanmark")</f>
        <v>Syddanmark</v>
      </c>
      <c r="O165" s="14">
        <f ca="1">IFERROR(__xludf.DUMMYFUNCTION("""COMPUTED_VALUE"""),66188641)</f>
        <v>66188641</v>
      </c>
      <c r="P165" s="14" t="str">
        <f ca="1">IFERROR(__xludf.DUMMYFUNCTION("""COMPUTED_VALUE"""),"jj@jj-bolig.dk")</f>
        <v>jj@jj-bolig.dk</v>
      </c>
      <c r="Q165" s="15" t="str">
        <f ca="1">IFERROR(__xludf.DUMMYFUNCTION("""COMPUTED_VALUE"""),"https://www.boliga.dk/maegler/696")</f>
        <v>https://www.boliga.dk/maegler/696</v>
      </c>
      <c r="R165" s="14" t="str">
        <f ca="1">IFERROR(__xludf.DUMMYFUNCTION("""COMPUTED_VALUE"""),"-")</f>
        <v>-</v>
      </c>
      <c r="S165" s="14" t="str">
        <f ca="1">IFERROR(__xludf.DUMMYFUNCTION("""COMPUTED_VALUE"""),"-")</f>
        <v>-</v>
      </c>
      <c r="T165" s="14" t="str">
        <f ca="1">IFERROR(__xludf.DUMMYFUNCTION("""COMPUTED_VALUE"""),"-")</f>
        <v>-</v>
      </c>
      <c r="U165" s="14">
        <f ca="1">IFERROR(__xludf.DUMMYFUNCTION("""COMPUTED_VALUE"""),6)</f>
        <v>6</v>
      </c>
      <c r="V165" s="14" t="str">
        <f ca="1">IFERROR(__xludf.DUMMYFUNCTION("""COMPUTED_VALUE"""),"5000, 5260, 5370, 5450, 5471")</f>
        <v>5000, 5260, 5370, 5450, 5471</v>
      </c>
      <c r="W165" s="14">
        <f ca="1">IFERROR(__xludf.DUMMYFUNCTION("""COMPUTED_VALUE"""),5)</f>
        <v>5</v>
      </c>
      <c r="X165" s="14" t="str">
        <f ca="1">IFERROR(__xludf.DUMMYFUNCTION("""COMPUTED_VALUE"""),"5240, 5260, 5270, 5450, 5350")</f>
        <v>5240, 5260, 5270, 5450, 5350</v>
      </c>
      <c r="Y165" s="14" t="str">
        <f ca="1">IFERROR(__xludf.DUMMYFUNCTION("""COMPUTED_VALUE"""),"ja")</f>
        <v>ja</v>
      </c>
      <c r="Z165" s="14"/>
      <c r="AA165" s="14"/>
      <c r="AB165" s="14" t="str">
        <f ca="1">IFERROR(__xludf.DUMMYFUNCTION("""COMPUTED_VALUE"""),"x")</f>
        <v>x</v>
      </c>
      <c r="AC165" s="14" t="str">
        <f ca="1">IFERROR(__xludf.DUMMYFUNCTION("""COMPUTED_VALUE"""),"x")</f>
        <v>x</v>
      </c>
    </row>
    <row r="166" spans="1:29" ht="12.5" x14ac:dyDescent="0.25">
      <c r="A166" s="14" t="str">
        <f ca="1">IFERROR(__xludf.DUMMYFUNCTION("""COMPUTED_VALUE"""),"Camilla")</f>
        <v>Camilla</v>
      </c>
      <c r="B166" s="14" t="str">
        <f ca="1">IFERROR(__xludf.DUMMYFUNCTION("""COMPUTED_VALUE"""),"Ejendomsmæglerfirmaet Storm &amp; Dubourg")</f>
        <v>Ejendomsmæglerfirmaet Storm &amp; Dubourg</v>
      </c>
      <c r="C166" s="14">
        <f ca="1">IFERROR(__xludf.DUMMYFUNCTION("""COMPUTED_VALUE"""),40035184)</f>
        <v>40035184</v>
      </c>
      <c r="D166" s="14" t="str">
        <f ca="1">IFERROR(__xludf.DUMMYFUNCTION("""COMPUTED_VALUE"""),"MG-JY: 2.499,-")</f>
        <v>MG-JY: 2.499,-</v>
      </c>
      <c r="E166" s="14">
        <f ca="1">IFERROR(__xludf.DUMMYFUNCTION("""COMPUTED_VALUE"""),1201)</f>
        <v>1201</v>
      </c>
      <c r="F166" s="14" t="str">
        <f ca="1">IFERROR(__xludf.DUMMYFUNCTION("""COMPUTED_VALUE"""),"Jens Storm")</f>
        <v>Jens Storm</v>
      </c>
      <c r="G166" s="14" t="str">
        <f ca="1">IFERROR(__xludf.DUMMYFUNCTION("""COMPUTED_VALUE"""),"js@sdbolig.dk")</f>
        <v>js@sdbolig.dk</v>
      </c>
      <c r="H166" s="14">
        <f ca="1">IFERROR(__xludf.DUMMYFUNCTION("""COMPUTED_VALUE"""),40311380)</f>
        <v>40311380</v>
      </c>
      <c r="I166" s="14" t="str">
        <f ca="1">IFERROR(__xludf.DUMMYFUNCTION("""COMPUTED_VALUE"""),"Lundevej 9")</f>
        <v>Lundevej 9</v>
      </c>
      <c r="J166" s="14">
        <f ca="1">IFERROR(__xludf.DUMMYFUNCTION("""COMPUTED_VALUE"""),5700)</f>
        <v>5700</v>
      </c>
      <c r="K166" s="14" t="str">
        <f ca="1">IFERROR(__xludf.DUMMYFUNCTION("""COMPUTED_VALUE"""),"Svendborg")</f>
        <v>Svendborg</v>
      </c>
      <c r="L166" s="14" t="str">
        <f ca="1">IFERROR(__xludf.DUMMYFUNCTION("""COMPUTED_VALUE"""),"Svendborg")</f>
        <v>Svendborg</v>
      </c>
      <c r="M166" s="14" t="str">
        <f ca="1">IFERROR(__xludf.DUMMYFUNCTION("""COMPUTED_VALUE"""),"Fyn")</f>
        <v>Fyn</v>
      </c>
      <c r="N166" s="14" t="str">
        <f ca="1">IFERROR(__xludf.DUMMYFUNCTION("""COMPUTED_VALUE"""),"Syddanmark")</f>
        <v>Syddanmark</v>
      </c>
      <c r="O166" s="14">
        <f ca="1">IFERROR(__xludf.DUMMYFUNCTION("""COMPUTED_VALUE"""),62208080)</f>
        <v>62208080</v>
      </c>
      <c r="P166" s="14" t="str">
        <f ca="1">IFERROR(__xludf.DUMMYFUNCTION("""COMPUTED_VALUE"""),"info@sdbolig.dk")</f>
        <v>info@sdbolig.dk</v>
      </c>
      <c r="Q166" s="15" t="str">
        <f ca="1">IFERROR(__xludf.DUMMYFUNCTION("""COMPUTED_VALUE"""),"https://www.boliga.dk/maegler/25410")</f>
        <v>https://www.boliga.dk/maegler/25410</v>
      </c>
      <c r="R166" s="14" t="str">
        <f ca="1">IFERROR(__xludf.DUMMYFUNCTION("""COMPUTED_VALUE"""),"-")</f>
        <v>-</v>
      </c>
      <c r="S166" s="14" t="str">
        <f ca="1">IFERROR(__xludf.DUMMYFUNCTION("""COMPUTED_VALUE"""),"-")</f>
        <v>-</v>
      </c>
      <c r="T166" s="14" t="str">
        <f ca="1">IFERROR(__xludf.DUMMYFUNCTION("""COMPUTED_VALUE"""),"-")</f>
        <v>-</v>
      </c>
      <c r="U166" s="14">
        <f ca="1">IFERROR(__xludf.DUMMYFUNCTION("""COMPUTED_VALUE"""),20)</f>
        <v>20</v>
      </c>
      <c r="V166" s="14" t="str">
        <f ca="1">IFERROR(__xludf.DUMMYFUNCTION("""COMPUTED_VALUE"""),"5690, 5771, 5953, 5700, 5881, 5882, 5900, 5932")</f>
        <v>5690, 5771, 5953, 5700, 5881, 5882, 5900, 5932</v>
      </c>
      <c r="W166" s="14">
        <f ca="1">IFERROR(__xludf.DUMMYFUNCTION("""COMPUTED_VALUE"""),20)</f>
        <v>20</v>
      </c>
      <c r="X166" s="14" t="str">
        <f ca="1">IFERROR(__xludf.DUMMYFUNCTION("""COMPUTED_VALUE"""),"5700, 5953, 5771, 5900, 5882, 5932, 5935")</f>
        <v>5700, 5953, 5771, 5900, 5882, 5932, 5935</v>
      </c>
      <c r="Y166" s="14" t="str">
        <f ca="1">IFERROR(__xludf.DUMMYFUNCTION("""COMPUTED_VALUE"""),"ja")</f>
        <v>ja</v>
      </c>
      <c r="Z166" s="14"/>
      <c r="AA166" s="14"/>
      <c r="AB166" s="14" t="str">
        <f ca="1">IFERROR(__xludf.DUMMYFUNCTION("""COMPUTED_VALUE"""),"x")</f>
        <v>x</v>
      </c>
      <c r="AC166" s="14" t="str">
        <f ca="1">IFERROR(__xludf.DUMMYFUNCTION("""COMPUTED_VALUE"""),"x")</f>
        <v>x</v>
      </c>
    </row>
    <row r="167" spans="1:29" ht="12.5" x14ac:dyDescent="0.25">
      <c r="A167" s="14" t="str">
        <f ca="1">IFERROR(__xludf.DUMMYFUNCTION("""COMPUTED_VALUE"""),"Camilla")</f>
        <v>Camilla</v>
      </c>
      <c r="B167" s="14" t="str">
        <f ca="1">IFERROR(__xludf.DUMMYFUNCTION("""COMPUTED_VALUE"""),"Evald Møller Bolig")</f>
        <v>Evald Møller Bolig</v>
      </c>
      <c r="C167" s="14">
        <f ca="1">IFERROR(__xludf.DUMMYFUNCTION("""COMPUTED_VALUE"""),31348722)</f>
        <v>31348722</v>
      </c>
      <c r="D167" s="14" t="str">
        <f ca="1">IFERROR(__xludf.DUMMYFUNCTION("""COMPUTED_VALUE"""),"MG-JY: 2.499,-")</f>
        <v>MG-JY: 2.499,-</v>
      </c>
      <c r="E167" s="14">
        <f ca="1">IFERROR(__xludf.DUMMYFUNCTION("""COMPUTED_VALUE"""),1201)</f>
        <v>1201</v>
      </c>
      <c r="F167" s="14" t="str">
        <f ca="1">IFERROR(__xludf.DUMMYFUNCTION("""COMPUTED_VALUE"""),"Evald Møller / Claus Holm")</f>
        <v>Evald Møller / Claus Holm</v>
      </c>
      <c r="G167" s="14" t="str">
        <f ca="1">IFERROR(__xludf.DUMMYFUNCTION("""COMPUTED_VALUE"""),"cth@evaldmoeller.dk")</f>
        <v>cth@evaldmoeller.dk</v>
      </c>
      <c r="H167" s="14">
        <f ca="1">IFERROR(__xludf.DUMMYFUNCTION("""COMPUTED_VALUE"""),54580555)</f>
        <v>54580555</v>
      </c>
      <c r="I167" s="14" t="str">
        <f ca="1">IFERROR(__xludf.DUMMYFUNCTION("""COMPUTED_VALUE"""),"Nørreport 1")</f>
        <v>Nørreport 1</v>
      </c>
      <c r="J167" s="14">
        <f ca="1">IFERROR(__xludf.DUMMYFUNCTION("""COMPUTED_VALUE"""),6200)</f>
        <v>6200</v>
      </c>
      <c r="K167" s="14" t="str">
        <f ca="1">IFERROR(__xludf.DUMMYFUNCTION("""COMPUTED_VALUE"""),"Aabenraa")</f>
        <v>Aabenraa</v>
      </c>
      <c r="L167" s="14" t="str">
        <f ca="1">IFERROR(__xludf.DUMMYFUNCTION("""COMPUTED_VALUE"""),"Aabenraa")</f>
        <v>Aabenraa</v>
      </c>
      <c r="M167" s="14" t="str">
        <f ca="1">IFERROR(__xludf.DUMMYFUNCTION("""COMPUTED_VALUE"""),"Sydjylland")</f>
        <v>Sydjylland</v>
      </c>
      <c r="N167" s="14" t="str">
        <f ca="1">IFERROR(__xludf.DUMMYFUNCTION("""COMPUTED_VALUE"""),"Syddanmark")</f>
        <v>Syddanmark</v>
      </c>
      <c r="O167" s="14">
        <f ca="1">IFERROR(__xludf.DUMMYFUNCTION("""COMPUTED_VALUE"""),73611100)</f>
        <v>73611100</v>
      </c>
      <c r="P167" s="14" t="str">
        <f ca="1">IFERROR(__xludf.DUMMYFUNCTION("""COMPUTED_VALUE"""),"info@evaldmoeller.dk")</f>
        <v>info@evaldmoeller.dk</v>
      </c>
      <c r="Q167" s="15" t="str">
        <f ca="1">IFERROR(__xludf.DUMMYFUNCTION("""COMPUTED_VALUE"""),"https://www.boliga.dk/maegler/25273")</f>
        <v>https://www.boliga.dk/maegler/25273</v>
      </c>
      <c r="R167" s="14" t="str">
        <f ca="1">IFERROR(__xludf.DUMMYFUNCTION("""COMPUTED_VALUE"""),"-")</f>
        <v>-</v>
      </c>
      <c r="S167" s="14" t="str">
        <f ca="1">IFERROR(__xludf.DUMMYFUNCTION("""COMPUTED_VALUE"""),"-")</f>
        <v>-</v>
      </c>
      <c r="T167" s="14" t="str">
        <f ca="1">IFERROR(__xludf.DUMMYFUNCTION("""COMPUTED_VALUE"""),"-")</f>
        <v>-</v>
      </c>
      <c r="U167" s="14">
        <f ca="1">IFERROR(__xludf.DUMMYFUNCTION("""COMPUTED_VALUE"""),30)</f>
        <v>30</v>
      </c>
      <c r="V167" s="14" t="str">
        <f ca="1">IFERROR(__xludf.DUMMYFUNCTION("""COMPUTED_VALUE"""),"6392, 6200, 6240, 6100, 6500, 6230, 6300, 6360, 6520")</f>
        <v>6392, 6200, 6240, 6100, 6500, 6230, 6300, 6360, 6520</v>
      </c>
      <c r="W167" s="14">
        <f ca="1">IFERROR(__xludf.DUMMYFUNCTION("""COMPUTED_VALUE"""),13)</f>
        <v>13</v>
      </c>
      <c r="X167" s="14" t="str">
        <f ca="1">IFERROR(__xludf.DUMMYFUNCTION("""COMPUTED_VALUE"""),"6200, 6230, 6340, 6372")</f>
        <v>6200, 6230, 6340, 6372</v>
      </c>
      <c r="Y167" s="14" t="str">
        <f ca="1">IFERROR(__xludf.DUMMYFUNCTION("""COMPUTED_VALUE"""),"ja")</f>
        <v>ja</v>
      </c>
      <c r="Z167" s="15" t="str">
        <f ca="1">IFERROR(__xludf.DUMMYFUNCTION("""COMPUTED_VALUE"""),"evm@evaldmoeller.dk")</f>
        <v>evm@evaldmoeller.dk</v>
      </c>
      <c r="AA167" s="14"/>
      <c r="AB167" s="14" t="str">
        <f ca="1">IFERROR(__xludf.DUMMYFUNCTION("""COMPUTED_VALUE"""),"x")</f>
        <v>x</v>
      </c>
      <c r="AC167" s="14" t="str">
        <f ca="1">IFERROR(__xludf.DUMMYFUNCTION("""COMPUTED_VALUE"""),"x")</f>
        <v>x</v>
      </c>
    </row>
    <row r="168" spans="1:29" ht="12.5" x14ac:dyDescent="0.25">
      <c r="A168" s="14" t="str">
        <f ca="1">IFERROR(__xludf.DUMMYFUNCTION("""COMPUTED_VALUE"""),"Camilla")</f>
        <v>Camilla</v>
      </c>
      <c r="B168" s="14" t="str">
        <f ca="1">IFERROR(__xludf.DUMMYFUNCTION("""COMPUTED_VALUE"""),"Frederica Mægleren")</f>
        <v>Frederica Mægleren</v>
      </c>
      <c r="C168" s="14">
        <f ca="1">IFERROR(__xludf.DUMMYFUNCTION("""COMPUTED_VALUE"""),35658203)</f>
        <v>35658203</v>
      </c>
      <c r="D168" s="14" t="str">
        <f ca="1">IFERROR(__xludf.DUMMYFUNCTION("""COMPUTED_VALUE"""),"MG-JY: 2.499,-")</f>
        <v>MG-JY: 2.499,-</v>
      </c>
      <c r="E168" s="14">
        <f ca="1">IFERROR(__xludf.DUMMYFUNCTION("""COMPUTED_VALUE"""),1201)</f>
        <v>1201</v>
      </c>
      <c r="F168" s="14" t="str">
        <f ca="1">IFERROR(__xludf.DUMMYFUNCTION("""COMPUTED_VALUE"""),"Lars-Bo Ottesen")</f>
        <v>Lars-Bo Ottesen</v>
      </c>
      <c r="G168" s="14" t="str">
        <f ca="1">IFERROR(__xludf.DUMMYFUNCTION("""COMPUTED_VALUE"""),"lars-bo@fm7000.dk")</f>
        <v>lars-bo@fm7000.dk</v>
      </c>
      <c r="H168" s="14">
        <f ca="1">IFERROR(__xludf.DUMMYFUNCTION("""COMPUTED_VALUE"""),24816341)</f>
        <v>24816341</v>
      </c>
      <c r="I168" s="14" t="str">
        <f ca="1">IFERROR(__xludf.DUMMYFUNCTION("""COMPUTED_VALUE"""),"Prinsessegade 33")</f>
        <v>Prinsessegade 33</v>
      </c>
      <c r="J168" s="14">
        <f ca="1">IFERROR(__xludf.DUMMYFUNCTION("""COMPUTED_VALUE"""),7000)</f>
        <v>7000</v>
      </c>
      <c r="K168" s="14" t="str">
        <f ca="1">IFERROR(__xludf.DUMMYFUNCTION("""COMPUTED_VALUE"""),"Fredericia")</f>
        <v>Fredericia</v>
      </c>
      <c r="L168" s="14" t="str">
        <f ca="1">IFERROR(__xludf.DUMMYFUNCTION("""COMPUTED_VALUE"""),"Fredericia")</f>
        <v>Fredericia</v>
      </c>
      <c r="M168" s="14" t="str">
        <f ca="1">IFERROR(__xludf.DUMMYFUNCTION("""COMPUTED_VALUE"""),"Sydjylland")</f>
        <v>Sydjylland</v>
      </c>
      <c r="N168" s="14" t="str">
        <f ca="1">IFERROR(__xludf.DUMMYFUNCTION("""COMPUTED_VALUE"""),"Syddanmark")</f>
        <v>Syddanmark</v>
      </c>
      <c r="O168" s="14" t="str">
        <f ca="1">IFERROR(__xludf.DUMMYFUNCTION("""COMPUTED_VALUE"""),"4333 1590")</f>
        <v>4333 1590</v>
      </c>
      <c r="P168" s="14" t="str">
        <f ca="1">IFERROR(__xludf.DUMMYFUNCTION("""COMPUTED_VALUE"""),"info@fredericiamaegleren.dk")</f>
        <v>info@fredericiamaegleren.dk</v>
      </c>
      <c r="Q168" s="15" t="str">
        <f ca="1">IFERROR(__xludf.DUMMYFUNCTION("""COMPUTED_VALUE"""),"https://www.boliga.dk/maegler/29036")</f>
        <v>https://www.boliga.dk/maegler/29036</v>
      </c>
      <c r="R168" s="14" t="str">
        <f ca="1">IFERROR(__xludf.DUMMYFUNCTION("""COMPUTED_VALUE"""),"-")</f>
        <v>-</v>
      </c>
      <c r="S168" s="14" t="str">
        <f ca="1">IFERROR(__xludf.DUMMYFUNCTION("""COMPUTED_VALUE"""),"-")</f>
        <v>-</v>
      </c>
      <c r="T168" s="14" t="str">
        <f ca="1">IFERROR(__xludf.DUMMYFUNCTION("""COMPUTED_VALUE"""),"-")</f>
        <v>-</v>
      </c>
      <c r="U168" s="14">
        <f ca="1">IFERROR(__xludf.DUMMYFUNCTION("""COMPUTED_VALUE"""),19)</f>
        <v>19</v>
      </c>
      <c r="V168" s="14" t="str">
        <f ca="1">IFERROR(__xludf.DUMMYFUNCTION("""COMPUTED_VALUE"""),"6000, 7000, 7080")</f>
        <v>6000, 7000, 7080</v>
      </c>
      <c r="W168" s="14" t="str">
        <f ca="1">IFERROR(__xludf.DUMMYFUNCTION("""COMPUTED_VALUE"""),"-")</f>
        <v>-</v>
      </c>
      <c r="X168" s="14" t="str">
        <f ca="1">IFERROR(__xludf.DUMMYFUNCTION("""COMPUTED_VALUE"""),"-")</f>
        <v>-</v>
      </c>
      <c r="Y168" s="14" t="str">
        <f ca="1">IFERROR(__xludf.DUMMYFUNCTION("""COMPUTED_VALUE"""),"ja")</f>
        <v>ja</v>
      </c>
      <c r="Z168" s="14"/>
      <c r="AA168" s="14"/>
      <c r="AB168" s="14" t="str">
        <f ca="1">IFERROR(__xludf.DUMMYFUNCTION("""COMPUTED_VALUE"""),"x")</f>
        <v>x</v>
      </c>
      <c r="AC168" s="14" t="str">
        <f ca="1">IFERROR(__xludf.DUMMYFUNCTION("""COMPUTED_VALUE"""),"x")</f>
        <v>x</v>
      </c>
    </row>
    <row r="169" spans="1:29" ht="12.5" x14ac:dyDescent="0.25">
      <c r="A169" s="14" t="str">
        <f ca="1">IFERROR(__xludf.DUMMYFUNCTION("""COMPUTED_VALUE"""),"Camilla")</f>
        <v>Camilla</v>
      </c>
      <c r="B169" s="14" t="str">
        <f ca="1">IFERROR(__xludf.DUMMYFUNCTION("""COMPUTED_VALUE"""),"Hekto&amp;Co")</f>
        <v>Hekto&amp;Co</v>
      </c>
      <c r="C169" s="14">
        <f ca="1">IFERROR(__xludf.DUMMYFUNCTION("""COMPUTED_VALUE"""),31168619)</f>
        <v>31168619</v>
      </c>
      <c r="D169" s="14" t="str">
        <f ca="1">IFERROR(__xludf.DUMMYFUNCTION("""COMPUTED_VALUE"""),"MG-JY: 2.499,-")</f>
        <v>MG-JY: 2.499,-</v>
      </c>
      <c r="E169" s="14">
        <f ca="1">IFERROR(__xludf.DUMMYFUNCTION("""COMPUTED_VALUE"""),1201)</f>
        <v>1201</v>
      </c>
      <c r="F169" s="14" t="str">
        <f ca="1">IFERROR(__xludf.DUMMYFUNCTION("""COMPUTED_VALUE"""),"Bent Holm")</f>
        <v>Bent Holm</v>
      </c>
      <c r="G169" s="14" t="str">
        <f ca="1">IFERROR(__xludf.DUMMYFUNCTION("""COMPUTED_VALUE"""),"bho@hekto-co.dk")</f>
        <v>bho@hekto-co.dk</v>
      </c>
      <c r="H169" s="14">
        <f ca="1">IFERROR(__xludf.DUMMYFUNCTION("""COMPUTED_VALUE"""),30453332)</f>
        <v>30453332</v>
      </c>
      <c r="I169" s="14" t="str">
        <f ca="1">IFERROR(__xludf.DUMMYFUNCTION("""COMPUTED_VALUE"""),"Jens Terp-Nielsens Vej 13")</f>
        <v>Jens Terp-Nielsens Vej 13</v>
      </c>
      <c r="J169" s="14">
        <f ca="1">IFERROR(__xludf.DUMMYFUNCTION("""COMPUTED_VALUE"""),6200)</f>
        <v>6200</v>
      </c>
      <c r="K169" s="14" t="str">
        <f ca="1">IFERROR(__xludf.DUMMYFUNCTION("""COMPUTED_VALUE"""),"Aabenraa")</f>
        <v>Aabenraa</v>
      </c>
      <c r="L169" s="14" t="str">
        <f ca="1">IFERROR(__xludf.DUMMYFUNCTION("""COMPUTED_VALUE"""),"Aabenraa")</f>
        <v>Aabenraa</v>
      </c>
      <c r="M169" s="14" t="str">
        <f ca="1">IFERROR(__xludf.DUMMYFUNCTION("""COMPUTED_VALUE"""),"Sydjylland")</f>
        <v>Sydjylland</v>
      </c>
      <c r="N169" s="14" t="str">
        <f ca="1">IFERROR(__xludf.DUMMYFUNCTION("""COMPUTED_VALUE"""),"Syddanmark")</f>
        <v>Syddanmark</v>
      </c>
      <c r="O169" s="14" t="str">
        <f ca="1">IFERROR(__xludf.DUMMYFUNCTION("""COMPUTED_VALUE"""),"7436 5131")</f>
        <v>7436 5131</v>
      </c>
      <c r="P169" s="14" t="str">
        <f ca="1">IFERROR(__xludf.DUMMYFUNCTION("""COMPUTED_VALUE"""),"info@hekto-co.dk")</f>
        <v>info@hekto-co.dk</v>
      </c>
      <c r="Q169" s="15" t="str">
        <f ca="1">IFERROR(__xludf.DUMMYFUNCTION("""COMPUTED_VALUE"""),"https://www.boliga.dk/maegler/29018")</f>
        <v>https://www.boliga.dk/maegler/29018</v>
      </c>
      <c r="R169" s="14" t="str">
        <f ca="1">IFERROR(__xludf.DUMMYFUNCTION("""COMPUTED_VALUE"""),"-")</f>
        <v>-</v>
      </c>
      <c r="S169" s="14" t="str">
        <f ca="1">IFERROR(__xludf.DUMMYFUNCTION("""COMPUTED_VALUE"""),"-")</f>
        <v>-</v>
      </c>
      <c r="T169" s="14" t="str">
        <f ca="1">IFERROR(__xludf.DUMMYFUNCTION("""COMPUTED_VALUE"""),"-")</f>
        <v>-</v>
      </c>
      <c r="U169" s="14">
        <f ca="1">IFERROR(__xludf.DUMMYFUNCTION("""COMPUTED_VALUE"""),2)</f>
        <v>2</v>
      </c>
      <c r="V169" s="14" t="str">
        <f ca="1">IFERROR(__xludf.DUMMYFUNCTION("""COMPUTED_VALUE"""),"8620, 6682")</f>
        <v>8620, 6682</v>
      </c>
      <c r="W169" s="14" t="str">
        <f ca="1">IFERROR(__xludf.DUMMYFUNCTION("""COMPUTED_VALUE"""),"-")</f>
        <v>-</v>
      </c>
      <c r="X169" s="14" t="str">
        <f ca="1">IFERROR(__xludf.DUMMYFUNCTION("""COMPUTED_VALUE"""),"-")</f>
        <v>-</v>
      </c>
      <c r="Y169" s="14" t="str">
        <f ca="1">IFERROR(__xludf.DUMMYFUNCTION("""COMPUTED_VALUE"""),"ja")</f>
        <v>ja</v>
      </c>
      <c r="Z169" s="14"/>
      <c r="AA169" s="14"/>
      <c r="AB169" s="14" t="str">
        <f ca="1">IFERROR(__xludf.DUMMYFUNCTION("""COMPUTED_VALUE"""),"x")</f>
        <v>x</v>
      </c>
      <c r="AC169" s="14" t="str">
        <f ca="1">IFERROR(__xludf.DUMMYFUNCTION("""COMPUTED_VALUE"""),"x")</f>
        <v>x</v>
      </c>
    </row>
    <row r="170" spans="1:29" ht="12.5" x14ac:dyDescent="0.25">
      <c r="A170" s="14" t="str">
        <f ca="1">IFERROR(__xludf.DUMMYFUNCTION("""COMPUTED_VALUE"""),"Camilla")</f>
        <v>Camilla</v>
      </c>
      <c r="B170" s="14" t="str">
        <f ca="1">IFERROR(__xludf.DUMMYFUNCTION("""COMPUTED_VALUE"""),"Hinnerskov Ejendomme")</f>
        <v>Hinnerskov Ejendomme</v>
      </c>
      <c r="C170" s="14">
        <f ca="1">IFERROR(__xludf.DUMMYFUNCTION("""COMPUTED_VALUE"""),36488859)</f>
        <v>36488859</v>
      </c>
      <c r="D170" s="14" t="str">
        <f ca="1">IFERROR(__xludf.DUMMYFUNCTION("""COMPUTED_VALUE"""),"MG-JY: 2.499,-")</f>
        <v>MG-JY: 2.499,-</v>
      </c>
      <c r="E170" s="14">
        <f ca="1">IFERROR(__xludf.DUMMYFUNCTION("""COMPUTED_VALUE"""),1201)</f>
        <v>1201</v>
      </c>
      <c r="F170" s="14" t="str">
        <f ca="1">IFERROR(__xludf.DUMMYFUNCTION("""COMPUTED_VALUE"""),"Mette H")</f>
        <v>Mette H</v>
      </c>
      <c r="G170" s="14" t="str">
        <f ca="1">IFERROR(__xludf.DUMMYFUNCTION("""COMPUTED_VALUE"""),"MH@HINNERSKOVEJENDOMME.DK")</f>
        <v>MH@HINNERSKOVEJENDOMME.DK</v>
      </c>
      <c r="H170" s="14">
        <f ca="1">IFERROR(__xludf.DUMMYFUNCTION("""COMPUTED_VALUE"""),21164422)</f>
        <v>21164422</v>
      </c>
      <c r="I170" s="14" t="str">
        <f ca="1">IFERROR(__xludf.DUMMYFUNCTION("""COMPUTED_VALUE"""),"Havnegade 5A")</f>
        <v>Havnegade 5A</v>
      </c>
      <c r="J170" s="14">
        <f ca="1">IFERROR(__xludf.DUMMYFUNCTION("""COMPUTED_VALUE"""),5500)</f>
        <v>5500</v>
      </c>
      <c r="K170" s="14" t="str">
        <f ca="1">IFERROR(__xludf.DUMMYFUNCTION("""COMPUTED_VALUE"""),"Middelfart")</f>
        <v>Middelfart</v>
      </c>
      <c r="L170" s="14" t="str">
        <f ca="1">IFERROR(__xludf.DUMMYFUNCTION("""COMPUTED_VALUE"""),"Middelfart")</f>
        <v>Middelfart</v>
      </c>
      <c r="M170" s="14" t="str">
        <f ca="1">IFERROR(__xludf.DUMMYFUNCTION("""COMPUTED_VALUE"""),"Fyn")</f>
        <v>Fyn</v>
      </c>
      <c r="N170" s="14" t="str">
        <f ca="1">IFERROR(__xludf.DUMMYFUNCTION("""COMPUTED_VALUE"""),"Syddanmark")</f>
        <v>Syddanmark</v>
      </c>
      <c r="O170" s="14" t="str">
        <f ca="1">IFERROR(__xludf.DUMMYFUNCTION("""COMPUTED_VALUE"""),"21 16 44 22")</f>
        <v>21 16 44 22</v>
      </c>
      <c r="P170" s="14" t="str">
        <f ca="1">IFERROR(__xludf.DUMMYFUNCTION("""COMPUTED_VALUE"""),"kontakt@hinnerskovejendomme.dk")</f>
        <v>kontakt@hinnerskovejendomme.dk</v>
      </c>
      <c r="Q170" s="15" t="str">
        <f ca="1">IFERROR(__xludf.DUMMYFUNCTION("""COMPUTED_VALUE"""),"https://www.boliga.dk/maegler/28698")</f>
        <v>https://www.boliga.dk/maegler/28698</v>
      </c>
      <c r="R170" s="14" t="str">
        <f ca="1">IFERROR(__xludf.DUMMYFUNCTION("""COMPUTED_VALUE"""),"-")</f>
        <v>-</v>
      </c>
      <c r="S170" s="14" t="str">
        <f ca="1">IFERROR(__xludf.DUMMYFUNCTION("""COMPUTED_VALUE"""),"-")</f>
        <v>-</v>
      </c>
      <c r="T170" s="14" t="str">
        <f ca="1">IFERROR(__xludf.DUMMYFUNCTION("""COMPUTED_VALUE"""),"-")</f>
        <v>-</v>
      </c>
      <c r="U170" s="14">
        <f ca="1">IFERROR(__xludf.DUMMYFUNCTION("""COMPUTED_VALUE"""),7)</f>
        <v>7</v>
      </c>
      <c r="V170" s="14" t="str">
        <f ca="1">IFERROR(__xludf.DUMMYFUNCTION("""COMPUTED_VALUE"""),"7000, 5500")</f>
        <v>7000, 5500</v>
      </c>
      <c r="W170" s="14">
        <f ca="1">IFERROR(__xludf.DUMMYFUNCTION("""COMPUTED_VALUE"""),2)</f>
        <v>2</v>
      </c>
      <c r="X170" s="14">
        <f ca="1">IFERROR(__xludf.DUMMYFUNCTION("""COMPUTED_VALUE"""),5500)</f>
        <v>5500</v>
      </c>
      <c r="Y170" s="14" t="str">
        <f ca="1">IFERROR(__xludf.DUMMYFUNCTION("""COMPUTED_VALUE"""),"ja")</f>
        <v>ja</v>
      </c>
      <c r="Z170" s="14"/>
      <c r="AA170" s="14"/>
      <c r="AB170" s="14" t="str">
        <f ca="1">IFERROR(__xludf.DUMMYFUNCTION("""COMPUTED_VALUE"""),"x")</f>
        <v>x</v>
      </c>
      <c r="AC170" s="14" t="str">
        <f ca="1">IFERROR(__xludf.DUMMYFUNCTION("""COMPUTED_VALUE"""),"x")</f>
        <v>x</v>
      </c>
    </row>
    <row r="171" spans="1:29" ht="12.5" x14ac:dyDescent="0.25">
      <c r="A171" s="14" t="str">
        <f ca="1">IFERROR(__xludf.DUMMYFUNCTION("""COMPUTED_VALUE"""),"Camilla")</f>
        <v>Camilla</v>
      </c>
      <c r="B171" s="14" t="str">
        <f ca="1">IFERROR(__xludf.DUMMYFUNCTION("""COMPUTED_VALUE"""),"Jesper Nielsen - Odense - Fyn")</f>
        <v>Jesper Nielsen - Odense - Fyn</v>
      </c>
      <c r="C171" s="14">
        <f ca="1">IFERROR(__xludf.DUMMYFUNCTION("""COMPUTED_VALUE"""),42433160)</f>
        <v>42433160</v>
      </c>
      <c r="D171" s="14" t="str">
        <f ca="1">IFERROR(__xludf.DUMMYFUNCTION("""COMPUTED_VALUE"""),"MG-JY: 2.499,-")</f>
        <v>MG-JY: 2.499,-</v>
      </c>
      <c r="E171" s="14">
        <f ca="1">IFERROR(__xludf.DUMMYFUNCTION("""COMPUTED_VALUE"""),1201)</f>
        <v>1201</v>
      </c>
      <c r="F171" s="14" t="str">
        <f ca="1">IFERROR(__xludf.DUMMYFUNCTION("""COMPUTED_VALUE"""),"Simon Olesen")</f>
        <v>Simon Olesen</v>
      </c>
      <c r="G171" s="14" t="str">
        <f ca="1">IFERROR(__xludf.DUMMYFUNCTION("""COMPUTED_VALUE"""),"sfo@jespernielsen.dk")</f>
        <v>sfo@jespernielsen.dk</v>
      </c>
      <c r="H171" s="14">
        <f ca="1">IFERROR(__xludf.DUMMYFUNCTION("""COMPUTED_VALUE"""),28739267)</f>
        <v>28739267</v>
      </c>
      <c r="I171" s="14" t="str">
        <f ca="1">IFERROR(__xludf.DUMMYFUNCTION("""COMPUTED_VALUE"""),"Odeons Kvarter 19 st. tv")</f>
        <v>Odeons Kvarter 19 st. tv</v>
      </c>
      <c r="J171" s="14">
        <f ca="1">IFERROR(__xludf.DUMMYFUNCTION("""COMPUTED_VALUE"""),5000)</f>
        <v>5000</v>
      </c>
      <c r="K171" s="14" t="str">
        <f ca="1">IFERROR(__xludf.DUMMYFUNCTION("""COMPUTED_VALUE"""),"Odense C")</f>
        <v>Odense C</v>
      </c>
      <c r="L171" s="14" t="str">
        <f ca="1">IFERROR(__xludf.DUMMYFUNCTION("""COMPUTED_VALUE"""),"Odense")</f>
        <v>Odense</v>
      </c>
      <c r="M171" s="14" t="str">
        <f ca="1">IFERROR(__xludf.DUMMYFUNCTION("""COMPUTED_VALUE"""),"Fyn")</f>
        <v>Fyn</v>
      </c>
      <c r="N171" s="14" t="str">
        <f ca="1">IFERROR(__xludf.DUMMYFUNCTION("""COMPUTED_VALUE"""),"Syddanmark")</f>
        <v>Syddanmark</v>
      </c>
      <c r="O171" s="14" t="str">
        <f ca="1">IFERROR(__xludf.DUMMYFUNCTION("""COMPUTED_VALUE"""),"8844 6000")</f>
        <v>8844 6000</v>
      </c>
      <c r="P171" s="14" t="str">
        <f ca="1">IFERROR(__xludf.DUMMYFUNCTION("""COMPUTED_VALUE"""),"findhjem5000@jespernielsen.dk")</f>
        <v>findhjem5000@jespernielsen.dk</v>
      </c>
      <c r="Q171" s="15" t="str">
        <f ca="1">IFERROR(__xludf.DUMMYFUNCTION("""COMPUTED_VALUE"""),"https://www.boliga.dk/maegler/29024")</f>
        <v>https://www.boliga.dk/maegler/29024</v>
      </c>
      <c r="R171" s="14" t="str">
        <f ca="1">IFERROR(__xludf.DUMMYFUNCTION("""COMPUTED_VALUE"""),"-")</f>
        <v>-</v>
      </c>
      <c r="S171" s="14" t="str">
        <f ca="1">IFERROR(__xludf.DUMMYFUNCTION("""COMPUTED_VALUE"""),"-")</f>
        <v>-</v>
      </c>
      <c r="T171" s="14" t="str">
        <f ca="1">IFERROR(__xludf.DUMMYFUNCTION("""COMPUTED_VALUE"""),"-")</f>
        <v>-</v>
      </c>
      <c r="U171" s="14">
        <f ca="1">IFERROR(__xludf.DUMMYFUNCTION("""COMPUTED_VALUE"""),4)</f>
        <v>4</v>
      </c>
      <c r="V171" s="14" t="str">
        <f ca="1">IFERROR(__xludf.DUMMYFUNCTION("""COMPUTED_VALUE"""),"5762, 5000, 5642")</f>
        <v>5762, 5000, 5642</v>
      </c>
      <c r="W171" s="14">
        <f ca="1">IFERROR(__xludf.DUMMYFUNCTION("""COMPUTED_VALUE"""),1)</f>
        <v>1</v>
      </c>
      <c r="X171" s="14">
        <f ca="1">IFERROR(__xludf.DUMMYFUNCTION("""COMPUTED_VALUE"""),5631)</f>
        <v>5631</v>
      </c>
      <c r="Y171" s="14" t="str">
        <f ca="1">IFERROR(__xludf.DUMMYFUNCTION("""COMPUTED_VALUE"""),"ja")</f>
        <v>ja</v>
      </c>
      <c r="Z171" s="14"/>
      <c r="AA171" s="14"/>
      <c r="AB171" s="14" t="str">
        <f ca="1">IFERROR(__xludf.DUMMYFUNCTION("""COMPUTED_VALUE"""),"x")</f>
        <v>x</v>
      </c>
      <c r="AC171" s="14" t="str">
        <f ca="1">IFERROR(__xludf.DUMMYFUNCTION("""COMPUTED_VALUE"""),"x")</f>
        <v>x</v>
      </c>
    </row>
    <row r="172" spans="1:29" ht="12.5" x14ac:dyDescent="0.25">
      <c r="A172" s="14" t="str">
        <f ca="1">IFERROR(__xludf.DUMMYFUNCTION("""COMPUTED_VALUE"""),"Camilla")</f>
        <v>Camilla</v>
      </c>
      <c r="B172" s="14" t="str">
        <f ca="1">IFERROR(__xludf.DUMMYFUNCTION("""COMPUTED_VALUE"""),"Kolding Mægleren")</f>
        <v>Kolding Mægleren</v>
      </c>
      <c r="C172" s="14">
        <f ca="1">IFERROR(__xludf.DUMMYFUNCTION("""COMPUTED_VALUE"""),39300648)</f>
        <v>39300648</v>
      </c>
      <c r="D172" s="14" t="str">
        <f ca="1">IFERROR(__xludf.DUMMYFUNCTION("""COMPUTED_VALUE"""),"MG-JY: 2.499,-")</f>
        <v>MG-JY: 2.499,-</v>
      </c>
      <c r="E172" s="14">
        <f ca="1">IFERROR(__xludf.DUMMYFUNCTION("""COMPUTED_VALUE"""),1201)</f>
        <v>1201</v>
      </c>
      <c r="F172" s="14" t="str">
        <f ca="1">IFERROR(__xludf.DUMMYFUNCTION("""COMPUTED_VALUE"""),"Allan Poulsen")</f>
        <v>Allan Poulsen</v>
      </c>
      <c r="G172" s="14" t="str">
        <f ca="1">IFERROR(__xludf.DUMMYFUNCTION("""COMPUTED_VALUE"""),"info@koldingmaegleren.dk")</f>
        <v>info@koldingmaegleren.dk</v>
      </c>
      <c r="H172" s="14">
        <f ca="1">IFERROR(__xludf.DUMMYFUNCTION("""COMPUTED_VALUE"""),28904390)</f>
        <v>28904390</v>
      </c>
      <c r="I172" s="14" t="str">
        <f ca="1">IFERROR(__xludf.DUMMYFUNCTION("""COMPUTED_VALUE"""),"Agtrupvej 85")</f>
        <v>Agtrupvej 85</v>
      </c>
      <c r="J172" s="14">
        <f ca="1">IFERROR(__xludf.DUMMYFUNCTION("""COMPUTED_VALUE"""),6000)</f>
        <v>6000</v>
      </c>
      <c r="K172" s="14" t="str">
        <f ca="1">IFERROR(__xludf.DUMMYFUNCTION("""COMPUTED_VALUE"""),"Kolding")</f>
        <v>Kolding</v>
      </c>
      <c r="L172" s="14" t="str">
        <f ca="1">IFERROR(__xludf.DUMMYFUNCTION("""COMPUTED_VALUE"""),"Kolding")</f>
        <v>Kolding</v>
      </c>
      <c r="M172" s="14" t="str">
        <f ca="1">IFERROR(__xludf.DUMMYFUNCTION("""COMPUTED_VALUE"""),"Sydjylland")</f>
        <v>Sydjylland</v>
      </c>
      <c r="N172" s="14" t="str">
        <f ca="1">IFERROR(__xludf.DUMMYFUNCTION("""COMPUTED_VALUE"""),"Syddanmark")</f>
        <v>Syddanmark</v>
      </c>
      <c r="O172" s="14">
        <f ca="1">IFERROR(__xludf.DUMMYFUNCTION("""COMPUTED_VALUE"""),28904390)</f>
        <v>28904390</v>
      </c>
      <c r="P172" s="14" t="str">
        <f ca="1">IFERROR(__xludf.DUMMYFUNCTION("""COMPUTED_VALUE"""),"info@koldingmaegleren.dk")</f>
        <v>info@koldingmaegleren.dk</v>
      </c>
      <c r="Q172" s="15" t="str">
        <f ca="1">IFERROR(__xludf.DUMMYFUNCTION("""COMPUTED_VALUE"""),"https://www.boliga.dk/maegler/25278")</f>
        <v>https://www.boliga.dk/maegler/25278</v>
      </c>
      <c r="R172" s="14" t="str">
        <f ca="1">IFERROR(__xludf.DUMMYFUNCTION("""COMPUTED_VALUE"""),"-")</f>
        <v>-</v>
      </c>
      <c r="S172" s="14" t="str">
        <f ca="1">IFERROR(__xludf.DUMMYFUNCTION("""COMPUTED_VALUE"""),"-")</f>
        <v>-</v>
      </c>
      <c r="T172" s="14" t="str">
        <f ca="1">IFERROR(__xludf.DUMMYFUNCTION("""COMPUTED_VALUE"""),"-")</f>
        <v>-</v>
      </c>
      <c r="U172" s="14">
        <f ca="1">IFERROR(__xludf.DUMMYFUNCTION("""COMPUTED_VALUE"""),10)</f>
        <v>10</v>
      </c>
      <c r="V172" s="14" t="str">
        <f ca="1">IFERROR(__xludf.DUMMYFUNCTION("""COMPUTED_VALUE"""),"6792, 6000, 6091, 6261")</f>
        <v>6792, 6000, 6091, 6261</v>
      </c>
      <c r="W172" s="14">
        <f ca="1">IFERROR(__xludf.DUMMYFUNCTION("""COMPUTED_VALUE"""),7)</f>
        <v>7</v>
      </c>
      <c r="X172" s="14" t="str">
        <f ca="1">IFERROR(__xludf.DUMMYFUNCTION("""COMPUTED_VALUE"""),"6000, 6064")</f>
        <v>6000, 6064</v>
      </c>
      <c r="Y172" s="14" t="str">
        <f ca="1">IFERROR(__xludf.DUMMYFUNCTION("""COMPUTED_VALUE"""),"ja")</f>
        <v>ja</v>
      </c>
      <c r="Z172" s="14"/>
      <c r="AA172" s="14"/>
      <c r="AB172" s="14" t="str">
        <f ca="1">IFERROR(__xludf.DUMMYFUNCTION("""COMPUTED_VALUE"""),"x")</f>
        <v>x</v>
      </c>
      <c r="AC172" s="14" t="str">
        <f ca="1">IFERROR(__xludf.DUMMYFUNCTION("""COMPUTED_VALUE"""),"x")</f>
        <v>x</v>
      </c>
    </row>
    <row r="173" spans="1:29" ht="12.5" x14ac:dyDescent="0.25">
      <c r="A173" s="14" t="str">
        <f ca="1">IFERROR(__xludf.DUMMYFUNCTION("""COMPUTED_VALUE"""),"Camilla")</f>
        <v>Camilla</v>
      </c>
      <c r="B173" s="14" t="str">
        <f ca="1">IFERROR(__xludf.DUMMYFUNCTION("""COMPUTED_VALUE"""),"LandBolig")</f>
        <v>LandBolig</v>
      </c>
      <c r="C173" s="14">
        <f ca="1">IFERROR(__xludf.DUMMYFUNCTION("""COMPUTED_VALUE"""),31884373)</f>
        <v>31884373</v>
      </c>
      <c r="D173" s="14" t="str">
        <f ca="1">IFERROR(__xludf.DUMMYFUNCTION("""COMPUTED_VALUE"""),"MG-JY: 2.499,-")</f>
        <v>MG-JY: 2.499,-</v>
      </c>
      <c r="E173" s="14">
        <f ca="1">IFERROR(__xludf.DUMMYFUNCTION("""COMPUTED_VALUE"""),1201)</f>
        <v>1201</v>
      </c>
      <c r="F173" s="14" t="str">
        <f ca="1">IFERROR(__xludf.DUMMYFUNCTION("""COMPUTED_VALUE"""),"Finn Pedersen")</f>
        <v>Finn Pedersen</v>
      </c>
      <c r="G173" s="14" t="str">
        <f ca="1">IFERROR(__xludf.DUMMYFUNCTION("""COMPUTED_VALUE"""),"fdp@landbogruppen.dk")</f>
        <v>fdp@landbogruppen.dk</v>
      </c>
      <c r="H173" s="14">
        <f ca="1">IFERROR(__xludf.DUMMYFUNCTION("""COMPUTED_VALUE"""),62625225)</f>
        <v>62625225</v>
      </c>
      <c r="I173" s="14" t="str">
        <f ca="1">IFERROR(__xludf.DUMMYFUNCTION("""COMPUTED_VALUE"""),"Damsbovej 11")</f>
        <v>Damsbovej 11</v>
      </c>
      <c r="J173" s="14">
        <f ca="1">IFERROR(__xludf.DUMMYFUNCTION("""COMPUTED_VALUE"""),5492)</f>
        <v>5492</v>
      </c>
      <c r="K173" s="14" t="str">
        <f ca="1">IFERROR(__xludf.DUMMYFUNCTION("""COMPUTED_VALUE"""),"Vissenbjerg")</f>
        <v>Vissenbjerg</v>
      </c>
      <c r="L173" s="14" t="str">
        <f ca="1">IFERROR(__xludf.DUMMYFUNCTION("""COMPUTED_VALUE"""),"Assens")</f>
        <v>Assens</v>
      </c>
      <c r="M173" s="14" t="str">
        <f ca="1">IFERROR(__xludf.DUMMYFUNCTION("""COMPUTED_VALUE"""),"Fyn")</f>
        <v>Fyn</v>
      </c>
      <c r="N173" s="14" t="str">
        <f ca="1">IFERROR(__xludf.DUMMYFUNCTION("""COMPUTED_VALUE"""),"Syddanmark")</f>
        <v>Syddanmark</v>
      </c>
      <c r="O173" s="14">
        <f ca="1">IFERROR(__xludf.DUMMYFUNCTION("""COMPUTED_VALUE"""),62625225)</f>
        <v>62625225</v>
      </c>
      <c r="P173" s="14" t="str">
        <f ca="1">IFERROR(__xludf.DUMMYFUNCTION("""COMPUTED_VALUE"""),"info@land-bolig.dk")</f>
        <v>info@land-bolig.dk</v>
      </c>
      <c r="Q173" s="15" t="str">
        <f ca="1">IFERROR(__xludf.DUMMYFUNCTION("""COMPUTED_VALUE"""),"https://www.boliga.dk/maegler/27960")</f>
        <v>https://www.boliga.dk/maegler/27960</v>
      </c>
      <c r="R173" s="14" t="str">
        <f ca="1">IFERROR(__xludf.DUMMYFUNCTION("""COMPUTED_VALUE"""),"-")</f>
        <v>-</v>
      </c>
      <c r="S173" s="14" t="str">
        <f ca="1">IFERROR(__xludf.DUMMYFUNCTION("""COMPUTED_VALUE"""),"-")</f>
        <v>-</v>
      </c>
      <c r="T173" s="14" t="str">
        <f ca="1">IFERROR(__xludf.DUMMYFUNCTION("""COMPUTED_VALUE"""),"-")</f>
        <v>-</v>
      </c>
      <c r="U173" s="14">
        <f ca="1">IFERROR(__xludf.DUMMYFUNCTION("""COMPUTED_VALUE"""),21)</f>
        <v>21</v>
      </c>
      <c r="V173" s="14" t="str">
        <f ca="1">IFERROR(__xludf.DUMMYFUNCTION("""COMPUTED_VALUE"""),"5240, 5690, 5620, 5492, 5560, 5683, 5672, 5592, 5856, 5871, 5853, 5874, 5600")</f>
        <v>5240, 5690, 5620, 5492, 5560, 5683, 5672, 5592, 5856, 5871, 5853, 5874, 5600</v>
      </c>
      <c r="W173" s="14">
        <f ca="1">IFERROR(__xludf.DUMMYFUNCTION("""COMPUTED_VALUE"""),2)</f>
        <v>2</v>
      </c>
      <c r="X173" s="14" t="str">
        <f ca="1">IFERROR(__xludf.DUMMYFUNCTION("""COMPUTED_VALUE"""),"5330, 5690")</f>
        <v>5330, 5690</v>
      </c>
      <c r="Y173" s="14" t="str">
        <f ca="1">IFERROR(__xludf.DUMMYFUNCTION("""COMPUTED_VALUE"""),"ja")</f>
        <v>ja</v>
      </c>
      <c r="Z173" s="14"/>
      <c r="AA173" s="14"/>
      <c r="AB173" s="14" t="str">
        <f ca="1">IFERROR(__xludf.DUMMYFUNCTION("""COMPUTED_VALUE"""),"x")</f>
        <v>x</v>
      </c>
      <c r="AC173" s="14" t="str">
        <f ca="1">IFERROR(__xludf.DUMMYFUNCTION("""COMPUTED_VALUE"""),"x")</f>
        <v>x</v>
      </c>
    </row>
    <row r="174" spans="1:29" ht="12.5" x14ac:dyDescent="0.25">
      <c r="A174" s="14" t="str">
        <f ca="1">IFERROR(__xludf.DUMMYFUNCTION("""COMPUTED_VALUE"""),"Camilla")</f>
        <v>Camilla</v>
      </c>
      <c r="B174" s="14" t="str">
        <f ca="1">IFERROR(__xludf.DUMMYFUNCTION("""COMPUTED_VALUE"""),"Lindbergs Ejendomshandel")</f>
        <v>Lindbergs Ejendomshandel</v>
      </c>
      <c r="C174" s="14">
        <f ca="1">IFERROR(__xludf.DUMMYFUNCTION("""COMPUTED_VALUE"""),37341894)</f>
        <v>37341894</v>
      </c>
      <c r="D174" s="14" t="str">
        <f ca="1">IFERROR(__xludf.DUMMYFUNCTION("""COMPUTED_VALUE"""),"MG-JY: 2.499,-")</f>
        <v>MG-JY: 2.499,-</v>
      </c>
      <c r="E174" s="14">
        <f ca="1">IFERROR(__xludf.DUMMYFUNCTION("""COMPUTED_VALUE"""),1201)</f>
        <v>1201</v>
      </c>
      <c r="F174" s="14" t="str">
        <f ca="1">IFERROR(__xludf.DUMMYFUNCTION("""COMPUTED_VALUE"""),"Gert Lindberg")</f>
        <v>Gert Lindberg</v>
      </c>
      <c r="G174" s="14" t="str">
        <f ca="1">IFERROR(__xludf.DUMMYFUNCTION("""COMPUTED_VALUE"""),"gert@lindbergsejendomshandel.dk")</f>
        <v>gert@lindbergsejendomshandel.dk</v>
      </c>
      <c r="H174" s="14">
        <f ca="1">IFERROR(__xludf.DUMMYFUNCTION("""COMPUTED_VALUE"""),25158917)</f>
        <v>25158917</v>
      </c>
      <c r="I174" s="14" t="str">
        <f ca="1">IFERROR(__xludf.DUMMYFUNCTION("""COMPUTED_VALUE"""),"Møllebakken 19")</f>
        <v>Møllebakken 19</v>
      </c>
      <c r="J174" s="14">
        <f ca="1">IFERROR(__xludf.DUMMYFUNCTION("""COMPUTED_VALUE"""),6800)</f>
        <v>6800</v>
      </c>
      <c r="K174" s="14" t="str">
        <f ca="1">IFERROR(__xludf.DUMMYFUNCTION("""COMPUTED_VALUE"""),"Varde")</f>
        <v>Varde</v>
      </c>
      <c r="L174" s="14" t="str">
        <f ca="1">IFERROR(__xludf.DUMMYFUNCTION("""COMPUTED_VALUE"""),"Varde")</f>
        <v>Varde</v>
      </c>
      <c r="M174" s="14" t="str">
        <f ca="1">IFERROR(__xludf.DUMMYFUNCTION("""COMPUTED_VALUE"""),"Sydjylland")</f>
        <v>Sydjylland</v>
      </c>
      <c r="N174" s="14" t="str">
        <f ca="1">IFERROR(__xludf.DUMMYFUNCTION("""COMPUTED_VALUE"""),"Syddanmark")</f>
        <v>Syddanmark</v>
      </c>
      <c r="O174" s="14">
        <f ca="1">IFERROR(__xludf.DUMMYFUNCTION("""COMPUTED_VALUE"""),25158917)</f>
        <v>25158917</v>
      </c>
      <c r="P174" s="14" t="str">
        <f ca="1">IFERROR(__xludf.DUMMYFUNCTION("""COMPUTED_VALUE"""),"gert@lindbergsejendomshandel.dk")</f>
        <v>gert@lindbergsejendomshandel.dk</v>
      </c>
      <c r="Q174" s="15" t="str">
        <f ca="1">IFERROR(__xludf.DUMMYFUNCTION("""COMPUTED_VALUE"""),"https://www.boliga.dk/maegler/26553")</f>
        <v>https://www.boliga.dk/maegler/26553</v>
      </c>
      <c r="R174" s="14" t="str">
        <f ca="1">IFERROR(__xludf.DUMMYFUNCTION("""COMPUTED_VALUE"""),"-")</f>
        <v>-</v>
      </c>
      <c r="S174" s="14" t="str">
        <f ca="1">IFERROR(__xludf.DUMMYFUNCTION("""COMPUTED_VALUE"""),"-")</f>
        <v>-</v>
      </c>
      <c r="T174" s="14" t="str">
        <f ca="1">IFERROR(__xludf.DUMMYFUNCTION("""COMPUTED_VALUE"""),"-")</f>
        <v>-</v>
      </c>
      <c r="U174" s="14">
        <f ca="1">IFERROR(__xludf.DUMMYFUNCTION("""COMPUTED_VALUE"""),12)</f>
        <v>12</v>
      </c>
      <c r="V174" s="14" t="str">
        <f ca="1">IFERROR(__xludf.DUMMYFUNCTION("""COMPUTED_VALUE"""),"6753, 6800, 6823, 6818")</f>
        <v>6753, 6800, 6823, 6818</v>
      </c>
      <c r="W174" s="14" t="str">
        <f ca="1">IFERROR(__xludf.DUMMYFUNCTION("""COMPUTED_VALUE"""),"-")</f>
        <v>-</v>
      </c>
      <c r="X174" s="14" t="str">
        <f ca="1">IFERROR(__xludf.DUMMYFUNCTION("""COMPUTED_VALUE"""),"-")</f>
        <v>-</v>
      </c>
      <c r="Y174" s="14" t="str">
        <f ca="1">IFERROR(__xludf.DUMMYFUNCTION("""COMPUTED_VALUE"""),"ja")</f>
        <v>ja</v>
      </c>
      <c r="Z174" s="14"/>
      <c r="AA174" s="14"/>
      <c r="AB174" s="14" t="str">
        <f ca="1">IFERROR(__xludf.DUMMYFUNCTION("""COMPUTED_VALUE"""),"x")</f>
        <v>x</v>
      </c>
      <c r="AC174" s="14" t="str">
        <f ca="1">IFERROR(__xludf.DUMMYFUNCTION("""COMPUTED_VALUE"""),"x")</f>
        <v>x</v>
      </c>
    </row>
    <row r="175" spans="1:29" ht="12.5" x14ac:dyDescent="0.25">
      <c r="A175" s="14" t="str">
        <f ca="1">IFERROR(__xludf.DUMMYFUNCTION("""COMPUTED_VALUE"""),"Camilla")</f>
        <v>Camilla</v>
      </c>
      <c r="B175" s="14" t="str">
        <f ca="1">IFERROR(__xludf.DUMMYFUNCTION("""COMPUTED_VALUE"""),"Marie Louise Pedersen NordFynBo")</f>
        <v>Marie Louise Pedersen NordFynBo</v>
      </c>
      <c r="C175" s="14">
        <f ca="1">IFERROR(__xludf.DUMMYFUNCTION("""COMPUTED_VALUE"""),32430554)</f>
        <v>32430554</v>
      </c>
      <c r="D175" s="14" t="str">
        <f ca="1">IFERROR(__xludf.DUMMYFUNCTION("""COMPUTED_VALUE"""),"MG-JY: 2.499,-")</f>
        <v>MG-JY: 2.499,-</v>
      </c>
      <c r="E175" s="14">
        <f ca="1">IFERROR(__xludf.DUMMYFUNCTION("""COMPUTED_VALUE"""),1201)</f>
        <v>1201</v>
      </c>
      <c r="F175" s="14" t="str">
        <f ca="1">IFERROR(__xludf.DUMMYFUNCTION("""COMPUTED_VALUE"""),"Marie Louise Pedersen")</f>
        <v>Marie Louise Pedersen</v>
      </c>
      <c r="G175" s="14" t="str">
        <f ca="1">IFERROR(__xludf.DUMMYFUNCTION("""COMPUTED_VALUE"""),"nedermolle@gmail.com")</f>
        <v>nedermolle@gmail.com</v>
      </c>
      <c r="H175" s="14">
        <f ca="1">IFERROR(__xludf.DUMMYFUNCTION("""COMPUTED_VALUE"""),22844499)</f>
        <v>22844499</v>
      </c>
      <c r="I175" s="14" t="str">
        <f ca="1">IFERROR(__xludf.DUMMYFUNCTION("""COMPUTED_VALUE"""),"Harritslevvej 2")</f>
        <v>Harritslevvej 2</v>
      </c>
      <c r="J175" s="14">
        <f ca="1">IFERROR(__xludf.DUMMYFUNCTION("""COMPUTED_VALUE"""),5400)</f>
        <v>5400</v>
      </c>
      <c r="K175" s="14" t="str">
        <f ca="1">IFERROR(__xludf.DUMMYFUNCTION("""COMPUTED_VALUE"""),"Bogense")</f>
        <v>Bogense</v>
      </c>
      <c r="L175" s="14" t="str">
        <f ca="1">IFERROR(__xludf.DUMMYFUNCTION("""COMPUTED_VALUE"""),"Nordfyns")</f>
        <v>Nordfyns</v>
      </c>
      <c r="M175" s="14" t="str">
        <f ca="1">IFERROR(__xludf.DUMMYFUNCTION("""COMPUTED_VALUE"""),"Fyn")</f>
        <v>Fyn</v>
      </c>
      <c r="N175" s="14" t="str">
        <f ca="1">IFERROR(__xludf.DUMMYFUNCTION("""COMPUTED_VALUE"""),"Syddanmark")</f>
        <v>Syddanmark</v>
      </c>
      <c r="O175" s="14">
        <f ca="1">IFERROR(__xludf.DUMMYFUNCTION("""COMPUTED_VALUE"""),22844499)</f>
        <v>22844499</v>
      </c>
      <c r="P175" s="14" t="str">
        <f ca="1">IFERROR(__xludf.DUMMYFUNCTION("""COMPUTED_VALUE"""),"nedermolle@gmail.com")</f>
        <v>nedermolle@gmail.com</v>
      </c>
      <c r="Q175" s="15" t="str">
        <f ca="1">IFERROR(__xludf.DUMMYFUNCTION("""COMPUTED_VALUE"""),"https://www.boliga.dk/maegler/25244")</f>
        <v>https://www.boliga.dk/maegler/25244</v>
      </c>
      <c r="R175" s="14" t="str">
        <f ca="1">IFERROR(__xludf.DUMMYFUNCTION("""COMPUTED_VALUE"""),"-")</f>
        <v>-</v>
      </c>
      <c r="S175" s="14" t="str">
        <f ca="1">IFERROR(__xludf.DUMMYFUNCTION("""COMPUTED_VALUE"""),"-")</f>
        <v>-</v>
      </c>
      <c r="T175" s="14" t="str">
        <f ca="1">IFERROR(__xludf.DUMMYFUNCTION("""COMPUTED_VALUE"""),"-")</f>
        <v>-</v>
      </c>
      <c r="U175" s="14">
        <f ca="1">IFERROR(__xludf.DUMMYFUNCTION("""COMPUTED_VALUE"""),16)</f>
        <v>16</v>
      </c>
      <c r="V175" s="14" t="str">
        <f ca="1">IFERROR(__xludf.DUMMYFUNCTION("""COMPUTED_VALUE"""),"5450, 5471, 4671, 5400, 5485, 5610")</f>
        <v>5450, 5471, 4671, 5400, 5485, 5610</v>
      </c>
      <c r="W175" s="14">
        <f ca="1">IFERROR(__xludf.DUMMYFUNCTION("""COMPUTED_VALUE"""),9)</f>
        <v>9</v>
      </c>
      <c r="X175" s="14" t="str">
        <f ca="1">IFERROR(__xludf.DUMMYFUNCTION("""COMPUTED_VALUE"""),"5450, 5400, 5474, 5471, 5500")</f>
        <v>5450, 5400, 5474, 5471, 5500</v>
      </c>
      <c r="Y175" s="14" t="str">
        <f ca="1">IFERROR(__xludf.DUMMYFUNCTION("""COMPUTED_VALUE"""),"ja")</f>
        <v>ja</v>
      </c>
      <c r="Z175" s="14"/>
      <c r="AA175" s="14"/>
      <c r="AB175" s="14" t="str">
        <f ca="1">IFERROR(__xludf.DUMMYFUNCTION("""COMPUTED_VALUE"""),"x")</f>
        <v>x</v>
      </c>
      <c r="AC175" s="14" t="str">
        <f ca="1">IFERROR(__xludf.DUMMYFUNCTION("""COMPUTED_VALUE"""),"x")</f>
        <v>x</v>
      </c>
    </row>
    <row r="176" spans="1:29" ht="12.5" x14ac:dyDescent="0.25">
      <c r="A176" s="14" t="str">
        <f ca="1">IFERROR(__xludf.DUMMYFUNCTION("""COMPUTED_VALUE"""),"Camilla")</f>
        <v>Camilla</v>
      </c>
      <c r="B176" s="14" t="str">
        <f ca="1">IFERROR(__xludf.DUMMYFUNCTION("""COMPUTED_VALUE"""),"Min Bolighandel Kolding")</f>
        <v>Min Bolighandel Kolding</v>
      </c>
      <c r="C176" s="14">
        <f ca="1">IFERROR(__xludf.DUMMYFUNCTION("""COMPUTED_VALUE"""),38471155)</f>
        <v>38471155</v>
      </c>
      <c r="D176" s="14" t="str">
        <f ca="1">IFERROR(__xludf.DUMMYFUNCTION("""COMPUTED_VALUE"""),"MG-JY: 2.499,-")</f>
        <v>MG-JY: 2.499,-</v>
      </c>
      <c r="E176" s="14">
        <f ca="1">IFERROR(__xludf.DUMMYFUNCTION("""COMPUTED_VALUE"""),1201)</f>
        <v>1201</v>
      </c>
      <c r="F176" s="14" t="str">
        <f ca="1">IFERROR(__xludf.DUMMYFUNCTION("""COMPUTED_VALUE"""),"Kenneth Birk")</f>
        <v>Kenneth Birk</v>
      </c>
      <c r="G176" s="14" t="str">
        <f ca="1">IFERROR(__xludf.DUMMYFUNCTION("""COMPUTED_VALUE"""),"kenneth@minbolighandel.dk")</f>
        <v>kenneth@minbolighandel.dk</v>
      </c>
      <c r="H176" s="14">
        <f ca="1">IFERROR(__xludf.DUMMYFUNCTION("""COMPUTED_VALUE"""),60526472)</f>
        <v>60526472</v>
      </c>
      <c r="I176" s="14" t="str">
        <f ca="1">IFERROR(__xludf.DUMMYFUNCTION("""COMPUTED_VALUE"""),"Mosevej 69")</f>
        <v>Mosevej 69</v>
      </c>
      <c r="J176" s="14">
        <f ca="1">IFERROR(__xludf.DUMMYFUNCTION("""COMPUTED_VALUE"""),6000)</f>
        <v>6000</v>
      </c>
      <c r="K176" s="14" t="str">
        <f ca="1">IFERROR(__xludf.DUMMYFUNCTION("""COMPUTED_VALUE"""),"Kolding")</f>
        <v>Kolding</v>
      </c>
      <c r="L176" s="14" t="str">
        <f ca="1">IFERROR(__xludf.DUMMYFUNCTION("""COMPUTED_VALUE"""),"Kolding")</f>
        <v>Kolding</v>
      </c>
      <c r="M176" s="14" t="str">
        <f ca="1">IFERROR(__xludf.DUMMYFUNCTION("""COMPUTED_VALUE"""),"Sydjylland")</f>
        <v>Sydjylland</v>
      </c>
      <c r="N176" s="14" t="str">
        <f ca="1">IFERROR(__xludf.DUMMYFUNCTION("""COMPUTED_VALUE"""),"Syddanmark")</f>
        <v>Syddanmark</v>
      </c>
      <c r="O176" s="14">
        <f ca="1">IFERROR(__xludf.DUMMYFUNCTION("""COMPUTED_VALUE"""),60526472)</f>
        <v>60526472</v>
      </c>
      <c r="P176" s="14" t="str">
        <f ca="1">IFERROR(__xludf.DUMMYFUNCTION("""COMPUTED_VALUE"""),"kenneth@minbolighandel.dk")</f>
        <v>kenneth@minbolighandel.dk</v>
      </c>
      <c r="Q176" s="15" t="str">
        <f ca="1">IFERROR(__xludf.DUMMYFUNCTION("""COMPUTED_VALUE"""),"https://www.boliga.dk/maegler/25811")</f>
        <v>https://www.boliga.dk/maegler/25811</v>
      </c>
      <c r="R176" s="14" t="str">
        <f ca="1">IFERROR(__xludf.DUMMYFUNCTION("""COMPUTED_VALUE"""),"-")</f>
        <v>-</v>
      </c>
      <c r="S176" s="14" t="str">
        <f ca="1">IFERROR(__xludf.DUMMYFUNCTION("""COMPUTED_VALUE"""),"-")</f>
        <v>-</v>
      </c>
      <c r="T176" s="14" t="str">
        <f ca="1">IFERROR(__xludf.DUMMYFUNCTION("""COMPUTED_VALUE"""),"-")</f>
        <v>-</v>
      </c>
      <c r="U176" s="14">
        <f ca="1">IFERROR(__xludf.DUMMYFUNCTION("""COMPUTED_VALUE"""),10)</f>
        <v>10</v>
      </c>
      <c r="V176" s="14" t="str">
        <f ca="1">IFERROR(__xludf.DUMMYFUNCTION("""COMPUTED_VALUE"""),"6640, 6580, 6040, 6000, 6070, 6862")</f>
        <v>6640, 6580, 6040, 6000, 6070, 6862</v>
      </c>
      <c r="W176" s="14">
        <f ca="1">IFERROR(__xludf.DUMMYFUNCTION("""COMPUTED_VALUE"""),6)</f>
        <v>6</v>
      </c>
      <c r="X176" s="14" t="str">
        <f ca="1">IFERROR(__xludf.DUMMYFUNCTION("""COMPUTED_VALUE"""),"6070, 6640, 6580, 6854")</f>
        <v>6070, 6640, 6580, 6854</v>
      </c>
      <c r="Y176" s="14" t="str">
        <f ca="1">IFERROR(__xludf.DUMMYFUNCTION("""COMPUTED_VALUE"""),"ja")</f>
        <v>ja</v>
      </c>
      <c r="Z176" s="14"/>
      <c r="AA176" s="14"/>
      <c r="AB176" s="14" t="str">
        <f ca="1">IFERROR(__xludf.DUMMYFUNCTION("""COMPUTED_VALUE"""),"x")</f>
        <v>x</v>
      </c>
      <c r="AC176" s="14" t="str">
        <f ca="1">IFERROR(__xludf.DUMMYFUNCTION("""COMPUTED_VALUE"""),"x")</f>
        <v>x</v>
      </c>
    </row>
    <row r="177" spans="1:29" ht="12.5" x14ac:dyDescent="0.25">
      <c r="A177" s="14" t="str">
        <f ca="1">IFERROR(__xludf.DUMMYFUNCTION("""COMPUTED_VALUE"""),"Camilla")</f>
        <v>Camilla</v>
      </c>
      <c r="B177" s="14" t="str">
        <f ca="1">IFERROR(__xludf.DUMMYFUNCTION("""COMPUTED_VALUE"""),"Online Mægleren")</f>
        <v>Online Mægleren</v>
      </c>
      <c r="C177" s="14">
        <f ca="1">IFERROR(__xludf.DUMMYFUNCTION("""COMPUTED_VALUE"""),26287901)</f>
        <v>26287901</v>
      </c>
      <c r="D177" s="14" t="str">
        <f ca="1">IFERROR(__xludf.DUMMYFUNCTION("""COMPUTED_VALUE"""),"MG-JY: 2.499,-")</f>
        <v>MG-JY: 2.499,-</v>
      </c>
      <c r="E177" s="14">
        <f ca="1">IFERROR(__xludf.DUMMYFUNCTION("""COMPUTED_VALUE"""),1201)</f>
        <v>1201</v>
      </c>
      <c r="F177" s="14" t="str">
        <f ca="1">IFERROR(__xludf.DUMMYFUNCTION("""COMPUTED_VALUE"""),"Anita Lützen")</f>
        <v>Anita Lützen</v>
      </c>
      <c r="G177" s="14" t="str">
        <f ca="1">IFERROR(__xludf.DUMMYFUNCTION("""COMPUTED_VALUE"""),"al@onlinemaegleren.dk")</f>
        <v>al@onlinemaegleren.dk</v>
      </c>
      <c r="H177" s="14">
        <f ca="1">IFERROR(__xludf.DUMMYFUNCTION("""COMPUTED_VALUE"""),40207307)</f>
        <v>40207307</v>
      </c>
      <c r="I177" s="14" t="str">
        <f ca="1">IFERROR(__xludf.DUMMYFUNCTION("""COMPUTED_VALUE"""),"Nikolaikirkestræde 14")</f>
        <v>Nikolaikirkestræde 14</v>
      </c>
      <c r="J177" s="14">
        <f ca="1">IFERROR(__xludf.DUMMYFUNCTION("""COMPUTED_VALUE"""),6800)</f>
        <v>6800</v>
      </c>
      <c r="K177" s="14" t="str">
        <f ca="1">IFERROR(__xludf.DUMMYFUNCTION("""COMPUTED_VALUE"""),"Varde")</f>
        <v>Varde</v>
      </c>
      <c r="L177" s="14" t="str">
        <f ca="1">IFERROR(__xludf.DUMMYFUNCTION("""COMPUTED_VALUE"""),"Varde")</f>
        <v>Varde</v>
      </c>
      <c r="M177" s="14" t="str">
        <f ca="1">IFERROR(__xludf.DUMMYFUNCTION("""COMPUTED_VALUE"""),"Sydjylland")</f>
        <v>Sydjylland</v>
      </c>
      <c r="N177" s="14" t="str">
        <f ca="1">IFERROR(__xludf.DUMMYFUNCTION("""COMPUTED_VALUE"""),"Syddanmark")</f>
        <v>Syddanmark</v>
      </c>
      <c r="O177" s="14">
        <f ca="1">IFERROR(__xludf.DUMMYFUNCTION("""COMPUTED_VALUE"""),40207307)</f>
        <v>40207307</v>
      </c>
      <c r="P177" s="14" t="str">
        <f ca="1">IFERROR(__xludf.DUMMYFUNCTION("""COMPUTED_VALUE"""),"al@onlinemaegleren.dk")</f>
        <v>al@onlinemaegleren.dk</v>
      </c>
      <c r="Q177" s="15" t="str">
        <f ca="1">IFERROR(__xludf.DUMMYFUNCTION("""COMPUTED_VALUE"""),"https://www.boliga.dk/maegler/28070")</f>
        <v>https://www.boliga.dk/maegler/28070</v>
      </c>
      <c r="R177" s="14" t="str">
        <f ca="1">IFERROR(__xludf.DUMMYFUNCTION("""COMPUTED_VALUE"""),"-")</f>
        <v>-</v>
      </c>
      <c r="S177" s="14" t="str">
        <f ca="1">IFERROR(__xludf.DUMMYFUNCTION("""COMPUTED_VALUE"""),"-")</f>
        <v>-</v>
      </c>
      <c r="T177" s="14" t="str">
        <f ca="1">IFERROR(__xludf.DUMMYFUNCTION("""COMPUTED_VALUE"""),"-")</f>
        <v>-</v>
      </c>
      <c r="U177" s="14">
        <f ca="1">IFERROR(__xludf.DUMMYFUNCTION("""COMPUTED_VALUE"""),10)</f>
        <v>10</v>
      </c>
      <c r="V177" s="14" t="str">
        <f ca="1">IFERROR(__xludf.DUMMYFUNCTION("""COMPUTED_VALUE"""),"6857, 6823, 6840, 6830, 6853, 6854")</f>
        <v>6857, 6823, 6840, 6830, 6853, 6854</v>
      </c>
      <c r="W177" s="14">
        <f ca="1">IFERROR(__xludf.DUMMYFUNCTION("""COMPUTED_VALUE"""),4)</f>
        <v>4</v>
      </c>
      <c r="X177" s="14" t="str">
        <f ca="1">IFERROR(__xludf.DUMMYFUNCTION("""COMPUTED_VALUE"""),"6857, 6840")</f>
        <v>6857, 6840</v>
      </c>
      <c r="Y177" s="14" t="str">
        <f ca="1">IFERROR(__xludf.DUMMYFUNCTION("""COMPUTED_VALUE"""),"ja")</f>
        <v>ja</v>
      </c>
      <c r="Z177" s="14"/>
      <c r="AA177" s="14"/>
      <c r="AB177" s="14" t="str">
        <f ca="1">IFERROR(__xludf.DUMMYFUNCTION("""COMPUTED_VALUE"""),"x")</f>
        <v>x</v>
      </c>
      <c r="AC177" s="14" t="str">
        <f ca="1">IFERROR(__xludf.DUMMYFUNCTION("""COMPUTED_VALUE"""),"x")</f>
        <v>x</v>
      </c>
    </row>
    <row r="178" spans="1:29" ht="12.5" x14ac:dyDescent="0.25">
      <c r="A178" s="14" t="str">
        <f ca="1">IFERROR(__xludf.DUMMYFUNCTION("""COMPUTED_VALUE"""),"Camilla")</f>
        <v>Camilla</v>
      </c>
      <c r="B178" s="14" t="str">
        <f ca="1">IFERROR(__xludf.DUMMYFUNCTION("""COMPUTED_VALUE"""),"Ribe Mæglerne")</f>
        <v>Ribe Mæglerne</v>
      </c>
      <c r="C178" s="14">
        <f ca="1">IFERROR(__xludf.DUMMYFUNCTION("""COMPUTED_VALUE"""),40087907)</f>
        <v>40087907</v>
      </c>
      <c r="D178" s="14" t="str">
        <f ca="1">IFERROR(__xludf.DUMMYFUNCTION("""COMPUTED_VALUE"""),"MG-JY: 2.499,-")</f>
        <v>MG-JY: 2.499,-</v>
      </c>
      <c r="E178" s="14">
        <f ca="1">IFERROR(__xludf.DUMMYFUNCTION("""COMPUTED_VALUE"""),1201)</f>
        <v>1201</v>
      </c>
      <c r="F178" s="14" t="str">
        <f ca="1">IFERROR(__xludf.DUMMYFUNCTION("""COMPUTED_VALUE"""),"Thomas Gerken")</f>
        <v>Thomas Gerken</v>
      </c>
      <c r="G178" s="14" t="str">
        <f ca="1">IFERROR(__xludf.DUMMYFUNCTION("""COMPUTED_VALUE"""),"tg@ribemaeglerne.dk")</f>
        <v>tg@ribemaeglerne.dk</v>
      </c>
      <c r="H178" s="14">
        <f ca="1">IFERROR(__xludf.DUMMYFUNCTION("""COMPUTED_VALUE"""),51151532)</f>
        <v>51151532</v>
      </c>
      <c r="I178" s="14" t="str">
        <f ca="1">IFERROR(__xludf.DUMMYFUNCTION("""COMPUTED_VALUE"""),"Juels Allé 19")</f>
        <v>Juels Allé 19</v>
      </c>
      <c r="J178" s="14">
        <f ca="1">IFERROR(__xludf.DUMMYFUNCTION("""COMPUTED_VALUE"""),6760)</f>
        <v>6760</v>
      </c>
      <c r="K178" s="14" t="str">
        <f ca="1">IFERROR(__xludf.DUMMYFUNCTION("""COMPUTED_VALUE"""),"Ribe")</f>
        <v>Ribe</v>
      </c>
      <c r="L178" s="14" t="str">
        <f ca="1">IFERROR(__xludf.DUMMYFUNCTION("""COMPUTED_VALUE"""),"Esbjerg")</f>
        <v>Esbjerg</v>
      </c>
      <c r="M178" s="14" t="str">
        <f ca="1">IFERROR(__xludf.DUMMYFUNCTION("""COMPUTED_VALUE"""),"Sydjylland")</f>
        <v>Sydjylland</v>
      </c>
      <c r="N178" s="14" t="str">
        <f ca="1">IFERROR(__xludf.DUMMYFUNCTION("""COMPUTED_VALUE"""),"Syddanmark")</f>
        <v>Syddanmark</v>
      </c>
      <c r="O178" s="14">
        <f ca="1">IFERROR(__xludf.DUMMYFUNCTION("""COMPUTED_VALUE"""),51151532)</f>
        <v>51151532</v>
      </c>
      <c r="P178" s="14" t="str">
        <f ca="1">IFERROR(__xludf.DUMMYFUNCTION("""COMPUTED_VALUE"""),"info@ribemaeglerne.dk")</f>
        <v>info@ribemaeglerne.dk</v>
      </c>
      <c r="Q178" s="15" t="str">
        <f ca="1">IFERROR(__xludf.DUMMYFUNCTION("""COMPUTED_VALUE"""),"https://www.boliga.dk/maegler/26698")</f>
        <v>https://www.boliga.dk/maegler/26698</v>
      </c>
      <c r="R178" s="14" t="str">
        <f ca="1">IFERROR(__xludf.DUMMYFUNCTION("""COMPUTED_VALUE"""),"-")</f>
        <v>-</v>
      </c>
      <c r="S178" s="14" t="str">
        <f ca="1">IFERROR(__xludf.DUMMYFUNCTION("""COMPUTED_VALUE"""),"-")</f>
        <v>-</v>
      </c>
      <c r="T178" s="14" t="str">
        <f ca="1">IFERROR(__xludf.DUMMYFUNCTION("""COMPUTED_VALUE"""),"-")</f>
        <v>-</v>
      </c>
      <c r="U178" s="14">
        <f ca="1">IFERROR(__xludf.DUMMYFUNCTION("""COMPUTED_VALUE"""),61)</f>
        <v>61</v>
      </c>
      <c r="V178" s="14" t="str">
        <f ca="1">IFERROR(__xludf.DUMMYFUNCTION("""COMPUTED_VALUE"""),"6100, 6760, 6300, 6470, 6510, 6630, 6771, 6780, 6854, 6792, 6960")</f>
        <v>6100, 6760, 6300, 6470, 6510, 6630, 6771, 6780, 6854, 6792, 6960</v>
      </c>
      <c r="W178" s="14">
        <f ca="1">IFERROR(__xludf.DUMMYFUNCTION("""COMPUTED_VALUE"""),36)</f>
        <v>36</v>
      </c>
      <c r="X178" s="14" t="str">
        <f ca="1">IFERROR(__xludf.DUMMYFUNCTION("""COMPUTED_VALUE"""),"7120, 6520, 6683, 6760, 6771, 6470, 6700, 6780")</f>
        <v>7120, 6520, 6683, 6760, 6771, 6470, 6700, 6780</v>
      </c>
      <c r="Y178" s="14" t="str">
        <f ca="1">IFERROR(__xludf.DUMMYFUNCTION("""COMPUTED_VALUE"""),"ja")</f>
        <v>ja</v>
      </c>
      <c r="Z178" s="14"/>
      <c r="AA178" s="14"/>
      <c r="AB178" s="14" t="str">
        <f ca="1">IFERROR(__xludf.DUMMYFUNCTION("""COMPUTED_VALUE"""),"x")</f>
        <v>x</v>
      </c>
      <c r="AC178" s="14" t="str">
        <f ca="1">IFERROR(__xludf.DUMMYFUNCTION("""COMPUTED_VALUE"""),"x")</f>
        <v>x</v>
      </c>
    </row>
    <row r="179" spans="1:29" ht="12.5" x14ac:dyDescent="0.25">
      <c r="A179" s="14" t="str">
        <f ca="1">IFERROR(__xludf.DUMMYFUNCTION("""COMPUTED_VALUE"""),"Camilla")</f>
        <v>Camilla</v>
      </c>
      <c r="B179" s="14" t="str">
        <f ca="1">IFERROR(__xludf.DUMMYFUNCTION("""COMPUTED_VALUE"""),"Thobo-Carlsen &amp; Partnere")</f>
        <v>Thobo-Carlsen &amp; Partnere</v>
      </c>
      <c r="C179" s="14">
        <f ca="1">IFERROR(__xludf.DUMMYFUNCTION("""COMPUTED_VALUE"""),21627976)</f>
        <v>21627976</v>
      </c>
      <c r="D179" s="14" t="str">
        <f ca="1">IFERROR(__xludf.DUMMYFUNCTION("""COMPUTED_VALUE"""),"MG-JY: 2.499,-")</f>
        <v>MG-JY: 2.499,-</v>
      </c>
      <c r="E179" s="14">
        <f ca="1">IFERROR(__xludf.DUMMYFUNCTION("""COMPUTED_VALUE"""),1201)</f>
        <v>1201</v>
      </c>
      <c r="F179" s="14" t="str">
        <f ca="1">IFERROR(__xludf.DUMMYFUNCTION("""COMPUTED_VALUE"""),"Lars Bjørk")</f>
        <v>Lars Bjørk</v>
      </c>
      <c r="G179" s="15" t="str">
        <f ca="1">IFERROR(__xludf.DUMMYFUNCTION("""COMPUTED_VALUE"""),"bjoerk@thobo.dk")</f>
        <v>bjoerk@thobo.dk</v>
      </c>
      <c r="H179" s="14">
        <f ca="1">IFERROR(__xludf.DUMMYFUNCTION("""COMPUTED_VALUE"""),40625456)</f>
        <v>40625456</v>
      </c>
      <c r="I179" s="14" t="str">
        <f ca="1">IFERROR(__xludf.DUMMYFUNCTION("""COMPUTED_VALUE"""),"Hunderupvej 116")</f>
        <v>Hunderupvej 116</v>
      </c>
      <c r="J179" s="14">
        <f ca="1">IFERROR(__xludf.DUMMYFUNCTION("""COMPUTED_VALUE"""),5230)</f>
        <v>5230</v>
      </c>
      <c r="K179" s="14" t="str">
        <f ca="1">IFERROR(__xludf.DUMMYFUNCTION("""COMPUTED_VALUE"""),"Odense M")</f>
        <v>Odense M</v>
      </c>
      <c r="L179" s="14" t="str">
        <f ca="1">IFERROR(__xludf.DUMMYFUNCTION("""COMPUTED_VALUE"""),"Odense")</f>
        <v>Odense</v>
      </c>
      <c r="M179" s="14" t="str">
        <f ca="1">IFERROR(__xludf.DUMMYFUNCTION("""COMPUTED_VALUE"""),"Fyn")</f>
        <v>Fyn</v>
      </c>
      <c r="N179" s="14" t="str">
        <f ca="1">IFERROR(__xludf.DUMMYFUNCTION("""COMPUTED_VALUE"""),"Syddanmark")</f>
        <v>Syddanmark</v>
      </c>
      <c r="O179" s="14">
        <f ca="1">IFERROR(__xludf.DUMMYFUNCTION("""COMPUTED_VALUE"""),66139200)</f>
        <v>66139200</v>
      </c>
      <c r="P179" s="14" t="str">
        <f ca="1">IFERROR(__xludf.DUMMYFUNCTION("""COMPUTED_VALUE"""),"info@thobo.dk")</f>
        <v>info@thobo.dk</v>
      </c>
      <c r="Q179" s="15" t="str">
        <f ca="1">IFERROR(__xludf.DUMMYFUNCTION("""COMPUTED_VALUE"""),"https://www.boliga.dk/maegler/23853")</f>
        <v>https://www.boliga.dk/maegler/23853</v>
      </c>
      <c r="R179" s="14" t="str">
        <f ca="1">IFERROR(__xludf.DUMMYFUNCTION("""COMPUTED_VALUE"""),"-")</f>
        <v>-</v>
      </c>
      <c r="S179" s="14" t="str">
        <f ca="1">IFERROR(__xludf.DUMMYFUNCTION("""COMPUTED_VALUE"""),"-")</f>
        <v>-</v>
      </c>
      <c r="T179" s="14" t="str">
        <f ca="1">IFERROR(__xludf.DUMMYFUNCTION("""COMPUTED_VALUE"""),"-")</f>
        <v>-</v>
      </c>
      <c r="U179" s="14">
        <f ca="1">IFERROR(__xludf.DUMMYFUNCTION("""COMPUTED_VALUE"""),17)</f>
        <v>17</v>
      </c>
      <c r="V179" s="14" t="str">
        <f ca="1">IFERROR(__xludf.DUMMYFUNCTION("""COMPUTED_VALUE"""),"5300, 5230, 5800, 5250, 5871, 5471, 5000, 5932, 5700")</f>
        <v>5300, 5230, 5800, 5250, 5871, 5471, 5000, 5932, 5700</v>
      </c>
      <c r="W179" s="14">
        <f ca="1">IFERROR(__xludf.DUMMYFUNCTION("""COMPUTED_VALUE"""),5)</f>
        <v>5</v>
      </c>
      <c r="X179" s="14" t="str">
        <f ca="1">IFERROR(__xludf.DUMMYFUNCTION("""COMPUTED_VALUE"""),"5250, 5230, 5000, 5270, 5631")</f>
        <v>5250, 5230, 5000, 5270, 5631</v>
      </c>
      <c r="Y179" s="14" t="str">
        <f ca="1">IFERROR(__xludf.DUMMYFUNCTION("""COMPUTED_VALUE"""),"ja")</f>
        <v>ja</v>
      </c>
      <c r="Z179" s="14"/>
      <c r="AA179" s="14"/>
      <c r="AB179" s="14" t="str">
        <f ca="1">IFERROR(__xludf.DUMMYFUNCTION("""COMPUTED_VALUE"""),"x")</f>
        <v>x</v>
      </c>
      <c r="AC179" s="14" t="str">
        <f ca="1">IFERROR(__xludf.DUMMYFUNCTION("""COMPUTED_VALUE"""),"x")</f>
        <v>x</v>
      </c>
    </row>
    <row r="180" spans="1:29" ht="12.5" x14ac:dyDescent="0.25">
      <c r="A180" s="14" t="str">
        <f ca="1">IFERROR(__xludf.DUMMYFUNCTION("""COMPUTED_VALUE"""),"Camilla")</f>
        <v>Camilla</v>
      </c>
      <c r="B180" s="14" t="str">
        <f ca="1">IFERROR(__xludf.DUMMYFUNCTION("""COMPUTED_VALUE"""),"Vejle Mægleren")</f>
        <v>Vejle Mægleren</v>
      </c>
      <c r="C180" s="14">
        <f ca="1">IFERROR(__xludf.DUMMYFUNCTION("""COMPUTED_VALUE"""),36966211)</f>
        <v>36966211</v>
      </c>
      <c r="D180" s="14" t="str">
        <f ca="1">IFERROR(__xludf.DUMMYFUNCTION("""COMPUTED_VALUE"""),"MG-JY: 2.499,-")</f>
        <v>MG-JY: 2.499,-</v>
      </c>
      <c r="E180" s="14">
        <f ca="1">IFERROR(__xludf.DUMMYFUNCTION("""COMPUTED_VALUE"""),1201)</f>
        <v>1201</v>
      </c>
      <c r="F180" s="14" t="str">
        <f ca="1">IFERROR(__xludf.DUMMYFUNCTION("""COMPUTED_VALUE"""),"Tobias Meng")</f>
        <v>Tobias Meng</v>
      </c>
      <c r="G180" s="14" t="str">
        <f ca="1">IFERROR(__xludf.DUMMYFUNCTION("""COMPUTED_VALUE"""),"mail@vejlemaegleren.dk")</f>
        <v>mail@vejlemaegleren.dk</v>
      </c>
      <c r="H180" s="14">
        <f ca="1">IFERROR(__xludf.DUMMYFUNCTION("""COMPUTED_VALUE"""),60225714)</f>
        <v>60225714</v>
      </c>
      <c r="I180" s="14" t="str">
        <f ca="1">IFERROR(__xludf.DUMMYFUNCTION("""COMPUTED_VALUE"""),"Lysholt Allé 10")</f>
        <v>Lysholt Allé 10</v>
      </c>
      <c r="J180" s="14">
        <f ca="1">IFERROR(__xludf.DUMMYFUNCTION("""COMPUTED_VALUE"""),7100)</f>
        <v>7100</v>
      </c>
      <c r="K180" s="14" t="str">
        <f ca="1">IFERROR(__xludf.DUMMYFUNCTION("""COMPUTED_VALUE"""),"Vejle")</f>
        <v>Vejle</v>
      </c>
      <c r="L180" s="14" t="str">
        <f ca="1">IFERROR(__xludf.DUMMYFUNCTION("""COMPUTED_VALUE"""),"Vejle")</f>
        <v>Vejle</v>
      </c>
      <c r="M180" s="14" t="str">
        <f ca="1">IFERROR(__xludf.DUMMYFUNCTION("""COMPUTED_VALUE"""),"Sydjylland")</f>
        <v>Sydjylland</v>
      </c>
      <c r="N180" s="14" t="str">
        <f ca="1">IFERROR(__xludf.DUMMYFUNCTION("""COMPUTED_VALUE"""),"Syddanmark")</f>
        <v>Syddanmark</v>
      </c>
      <c r="O180" s="14">
        <f ca="1">IFERROR(__xludf.DUMMYFUNCTION("""COMPUTED_VALUE"""),60225714)</f>
        <v>60225714</v>
      </c>
      <c r="P180" s="14" t="str">
        <f ca="1">IFERROR(__xludf.DUMMYFUNCTION("""COMPUTED_VALUE"""),"mail@vejlemaegleren.dk")</f>
        <v>mail@vejlemaegleren.dk</v>
      </c>
      <c r="Q180" s="15" t="str">
        <f ca="1">IFERROR(__xludf.DUMMYFUNCTION("""COMPUTED_VALUE"""),"https://www.boliga.dk/maegler/24211")</f>
        <v>https://www.boliga.dk/maegler/24211</v>
      </c>
      <c r="R180" s="14" t="str">
        <f ca="1">IFERROR(__xludf.DUMMYFUNCTION("""COMPUTED_VALUE"""),"-")</f>
        <v>-</v>
      </c>
      <c r="S180" s="14" t="str">
        <f ca="1">IFERROR(__xludf.DUMMYFUNCTION("""COMPUTED_VALUE"""),"-")</f>
        <v>-</v>
      </c>
      <c r="T180" s="14" t="str">
        <f ca="1">IFERROR(__xludf.DUMMYFUNCTION("""COMPUTED_VALUE"""),"-")</f>
        <v>-</v>
      </c>
      <c r="U180" s="14">
        <f ca="1">IFERROR(__xludf.DUMMYFUNCTION("""COMPUTED_VALUE"""),14)</f>
        <v>14</v>
      </c>
      <c r="V180" s="14" t="str">
        <f ca="1">IFERROR(__xludf.DUMMYFUNCTION("""COMPUTED_VALUE"""),"6040, 7120, 7140, 7100, 7323, 7182")</f>
        <v>6040, 7120, 7140, 7100, 7323, 7182</v>
      </c>
      <c r="W180" s="14">
        <f ca="1">IFERROR(__xludf.DUMMYFUNCTION("""COMPUTED_VALUE"""),8)</f>
        <v>8</v>
      </c>
      <c r="X180" s="14" t="str">
        <f ca="1">IFERROR(__xludf.DUMMYFUNCTION("""COMPUTED_VALUE"""),"6040, 7080, 7100, 7182")</f>
        <v>6040, 7080, 7100, 7182</v>
      </c>
      <c r="Y180" s="14" t="str">
        <f ca="1">IFERROR(__xludf.DUMMYFUNCTION("""COMPUTED_VALUE"""),"ja")</f>
        <v>ja</v>
      </c>
      <c r="Z180" s="14"/>
      <c r="AA180" s="14"/>
      <c r="AB180" s="14" t="str">
        <f ca="1">IFERROR(__xludf.DUMMYFUNCTION("""COMPUTED_VALUE"""),"x")</f>
        <v>x</v>
      </c>
      <c r="AC180" s="14" t="str">
        <f ca="1">IFERROR(__xludf.DUMMYFUNCTION("""COMPUTED_VALUE"""),"x")</f>
        <v>x</v>
      </c>
    </row>
    <row r="181" spans="1:29" ht="12.5" x14ac:dyDescent="0.25">
      <c r="A181" s="14" t="str">
        <f ca="1">IFERROR(__xludf.DUMMYFUNCTION("""COMPUTED_VALUE"""),"Camilla")</f>
        <v>Camilla</v>
      </c>
      <c r="B181" s="14" t="str">
        <f ca="1">IFERROR(__xludf.DUMMYFUNCTION("""COMPUTED_VALUE"""),"Boligsælgeren Palle Støvring")</f>
        <v>Boligsælgeren Palle Støvring</v>
      </c>
      <c r="C181" s="14">
        <f ca="1">IFERROR(__xludf.DUMMYFUNCTION("""COMPUTED_VALUE"""),38995197)</f>
        <v>38995197</v>
      </c>
      <c r="D181" s="14" t="str">
        <f ca="1">IFERROR(__xludf.DUMMYFUNCTION("""COMPUTED_VALUE"""),"MG-SJ: 3.499,-")</f>
        <v>MG-SJ: 3.499,-</v>
      </c>
      <c r="E181" s="14">
        <f ca="1">IFERROR(__xludf.DUMMYFUNCTION("""COMPUTED_VALUE"""),1202)</f>
        <v>1202</v>
      </c>
      <c r="F181" s="14" t="str">
        <f ca="1">IFERROR(__xludf.DUMMYFUNCTION("""COMPUTED_VALUE"""),"René Qvistgaard ")</f>
        <v xml:space="preserve">René Qvistgaard </v>
      </c>
      <c r="G181" s="14" t="str">
        <f ca="1">IFERROR(__xludf.DUMMYFUNCTION("""COMPUTED_VALUE"""),"rq@boligsaelgeren.dk")</f>
        <v>rq@boligsaelgeren.dk</v>
      </c>
      <c r="H181" s="14">
        <f ca="1">IFERROR(__xludf.DUMMYFUNCTION("""COMPUTED_VALUE"""),21480618)</f>
        <v>21480618</v>
      </c>
      <c r="I181" s="14" t="str">
        <f ca="1">IFERROR(__xludf.DUMMYFUNCTION("""COMPUTED_VALUE"""),"Osvej 17, 4040 Jyllinge")</f>
        <v>Osvej 17, 4040 Jyllinge</v>
      </c>
      <c r="J181" s="14">
        <f ca="1">IFERROR(__xludf.DUMMYFUNCTION("""COMPUTED_VALUE"""),4040)</f>
        <v>4040</v>
      </c>
      <c r="K181" s="14" t="str">
        <f ca="1">IFERROR(__xludf.DUMMYFUNCTION("""COMPUTED_VALUE"""),"Jyllinge")</f>
        <v>Jyllinge</v>
      </c>
      <c r="L181" s="14"/>
      <c r="M181" s="14"/>
      <c r="N181" s="14"/>
      <c r="O181" s="14"/>
      <c r="P181" s="14"/>
      <c r="Q181" s="15" t="str">
        <f ca="1">IFERROR(__xludf.DUMMYFUNCTION("""COMPUTED_VALUE"""),"https://www.boliga.dk/maegler/29088")</f>
        <v>https://www.boliga.dk/maegler/29088</v>
      </c>
      <c r="R181" s="14"/>
      <c r="S181" s="14"/>
      <c r="T181" s="14"/>
      <c r="U181" s="14"/>
      <c r="V181" s="14"/>
      <c r="W181" s="14"/>
      <c r="X181" s="14"/>
      <c r="Y181" s="14" t="str">
        <f ca="1">IFERROR(__xludf.DUMMYFUNCTION("""COMPUTED_VALUE"""),"ja")</f>
        <v>ja</v>
      </c>
      <c r="Z181" s="14"/>
      <c r="AA181" s="14"/>
      <c r="AB181" s="14" t="str">
        <f ca="1">IFERROR(__xludf.DUMMYFUNCTION("""COMPUTED_VALUE"""),"x")</f>
        <v>x</v>
      </c>
      <c r="AC181" s="14" t="str">
        <f ca="1">IFERROR(__xludf.DUMMYFUNCTION("""COMPUTED_VALUE"""),"x")</f>
        <v>x</v>
      </c>
    </row>
    <row r="182" spans="1:29" ht="12.5" x14ac:dyDescent="0.25">
      <c r="A182" s="14" t="str">
        <f ca="1">IFERROR(__xludf.DUMMYFUNCTION("""COMPUTED_VALUE"""),"Camilla")</f>
        <v>Camilla</v>
      </c>
      <c r="B182" s="14" t="str">
        <f ca="1">IFERROR(__xludf.DUMMYFUNCTION("""COMPUTED_VALUE"""),"Jenny Eliassen")</f>
        <v>Jenny Eliassen</v>
      </c>
      <c r="C182" s="14"/>
      <c r="D182" s="14"/>
      <c r="E182" s="14" t="str">
        <f ca="1">IFERROR(__xludf.DUMMYFUNCTION("""COMPUTED_VALUE"""),"N/A")</f>
        <v>N/A</v>
      </c>
      <c r="F182" s="14" t="str">
        <f ca="1">IFERROR(__xludf.DUMMYFUNCTION("""COMPUTED_VALUE"""),"Jenny Eliassen")</f>
        <v>Jenny Eliassen</v>
      </c>
      <c r="G182" s="14" t="str">
        <f ca="1">IFERROR(__xludf.DUMMYFUNCTION("""COMPUTED_VALUE"""),"kontakt@jennyeliassen.dk")</f>
        <v>kontakt@jennyeliassen.dk</v>
      </c>
      <c r="H182" s="14">
        <f ca="1">IFERROR(__xludf.DUMMYFUNCTION("""COMPUTED_VALUE"""),39202920)</f>
        <v>39202920</v>
      </c>
      <c r="I182" s="14" t="str">
        <f ca="1">IFERROR(__xludf.DUMMYFUNCTION("""COMPUTED_VALUE"""),"Kornvej 1")</f>
        <v>Kornvej 1</v>
      </c>
      <c r="J182" s="14">
        <f ca="1">IFERROR(__xludf.DUMMYFUNCTION("""COMPUTED_VALUE"""),2920)</f>
        <v>2920</v>
      </c>
      <c r="K182" s="14" t="str">
        <f ca="1">IFERROR(__xludf.DUMMYFUNCTION("""COMPUTED_VALUE"""),"Charlottenlund")</f>
        <v>Charlottenlund</v>
      </c>
      <c r="L182" s="14"/>
      <c r="M182" s="14"/>
      <c r="N182" s="14"/>
      <c r="O182" s="14"/>
      <c r="P182" s="14" t="str">
        <f ca="1">IFERROR(__xludf.DUMMYFUNCTION("""COMPUTED_VALUE"""),"kontakt@jennyeliassen.dk")</f>
        <v>kontakt@jennyeliassen.dk</v>
      </c>
      <c r="Q182" s="15" t="str">
        <f ca="1">IFERROR(__xludf.DUMMYFUNCTION("""COMPUTED_VALUE"""),"https://www.boliga.dk/maegler/29121")</f>
        <v>https://www.boliga.dk/maegler/29121</v>
      </c>
      <c r="R182" s="14"/>
      <c r="S182" s="14"/>
      <c r="T182" s="14"/>
      <c r="U182" s="14"/>
      <c r="V182" s="14"/>
      <c r="W182" s="14"/>
      <c r="X182" s="14"/>
      <c r="Y182" s="14" t="str">
        <f ca="1">IFERROR(__xludf.DUMMYFUNCTION("""COMPUTED_VALUE"""),"ja")</f>
        <v>ja</v>
      </c>
      <c r="Z182" s="14"/>
      <c r="AA182" s="14"/>
      <c r="AB182" s="14" t="str">
        <f ca="1">IFERROR(__xludf.DUMMYFUNCTION("""COMPUTED_VALUE"""),"x")</f>
        <v>x</v>
      </c>
      <c r="AC182" s="14"/>
    </row>
    <row r="183" spans="1:29" ht="12.5" x14ac:dyDescent="0.25">
      <c r="A183" s="14" t="str">
        <f ca="1">IFERROR(__xludf.DUMMYFUNCTION("""COMPUTED_VALUE"""),"Camilla")</f>
        <v>Camilla</v>
      </c>
      <c r="B183" s="14" t="str">
        <f ca="1">IFERROR(__xludf.DUMMYFUNCTION("""COMPUTED_VALUE"""),"Nielsen &amp; Co")</f>
        <v>Nielsen &amp; Co</v>
      </c>
      <c r="C183" s="21"/>
      <c r="D183" s="14"/>
      <c r="E183" s="14" t="str">
        <f ca="1">IFERROR(__xludf.DUMMYFUNCTION("""COMPUTED_VALUE"""),"N/A")</f>
        <v>N/A</v>
      </c>
      <c r="F183" s="14" t="str">
        <f ca="1">IFERROR(__xludf.DUMMYFUNCTION("""COMPUTED_VALUE"""),"Carl Nielsen")</f>
        <v>Carl Nielsen</v>
      </c>
      <c r="G183" s="14" t="str">
        <f ca="1">IFERROR(__xludf.DUMMYFUNCTION("""COMPUTED_VALUE"""),"carl@nielsenboligerhverv.dk")</f>
        <v>carl@nielsenboligerhverv.dk</v>
      </c>
      <c r="H183" s="14">
        <f ca="1">IFERROR(__xludf.DUMMYFUNCTION("""COMPUTED_VALUE"""),20112666)</f>
        <v>20112666</v>
      </c>
      <c r="I183" s="14" t="str">
        <f ca="1">IFERROR(__xludf.DUMMYFUNCTION("""COMPUTED_VALUE"""),"Skelagervej 213")</f>
        <v>Skelagervej 213</v>
      </c>
      <c r="J183" s="14">
        <f ca="1">IFERROR(__xludf.DUMMYFUNCTION("""COMPUTED_VALUE"""),9000)</f>
        <v>9000</v>
      </c>
      <c r="K183" s="14" t="str">
        <f ca="1">IFERROR(__xludf.DUMMYFUNCTION("""COMPUTED_VALUE"""),"Aalborg")</f>
        <v>Aalborg</v>
      </c>
      <c r="L183" s="14"/>
      <c r="M183" s="14"/>
      <c r="N183" s="14"/>
      <c r="O183" s="14">
        <f ca="1">IFERROR(__xludf.DUMMYFUNCTION("""COMPUTED_VALUE"""),20112666)</f>
        <v>20112666</v>
      </c>
      <c r="P183" s="14" t="str">
        <f ca="1">IFERROR(__xludf.DUMMYFUNCTION("""COMPUTED_VALUE"""),"carl@nielsenboligerhverv.dk")</f>
        <v>carl@nielsenboligerhverv.dk</v>
      </c>
      <c r="Q183" s="14"/>
      <c r="R183" s="14"/>
      <c r="S183" s="14"/>
      <c r="T183" s="14"/>
      <c r="U183" s="14"/>
      <c r="V183" s="14"/>
      <c r="W183" s="14"/>
      <c r="X183" s="14"/>
      <c r="Y183" s="14" t="str">
        <f ca="1">IFERROR(__xludf.DUMMYFUNCTION("""COMPUTED_VALUE"""),"ja")</f>
        <v>ja</v>
      </c>
      <c r="Z183" s="14"/>
      <c r="AA183" s="14"/>
      <c r="AB183" s="14" t="str">
        <f ca="1">IFERROR(__xludf.DUMMYFUNCTION("""COMPUTED_VALUE"""),"x")</f>
        <v>x</v>
      </c>
      <c r="AC183" s="14" t="str">
        <f ca="1">IFERROR(__xludf.DUMMYFUNCTION("""COMPUTED_VALUE"""),"x")</f>
        <v>x</v>
      </c>
    </row>
    <row r="184" spans="1:29" ht="12.5" x14ac:dyDescent="0.25">
      <c r="A184" s="14" t="str">
        <f ca="1">IFERROR(__xludf.DUMMYFUNCTION("""COMPUTED_VALUE"""),"Camilla")</f>
        <v>Camilla</v>
      </c>
      <c r="B184" s="14" t="str">
        <f ca="1">IFERROR(__xludf.DUMMYFUNCTION("""COMPUTED_VALUE"""),"DKBoligteam")</f>
        <v>DKBoligteam</v>
      </c>
      <c r="C184" s="14">
        <f ca="1">IFERROR(__xludf.DUMMYFUNCTION("""COMPUTED_VALUE"""),43058479)</f>
        <v>43058479</v>
      </c>
      <c r="D184" s="14" t="str">
        <f ca="1">IFERROR(__xludf.DUMMYFUNCTION("""COMPUTED_VALUE"""),"MG-SJ: 3.499,-")</f>
        <v>MG-SJ: 3.499,-</v>
      </c>
      <c r="E184" s="14">
        <f ca="1">IFERROR(__xludf.DUMMYFUNCTION("""COMPUTED_VALUE"""),1202)</f>
        <v>1202</v>
      </c>
      <c r="F184" s="14" t="str">
        <f ca="1">IFERROR(__xludf.DUMMYFUNCTION("""COMPUTED_VALUE"""),"Dan Frederiksen")</f>
        <v>Dan Frederiksen</v>
      </c>
      <c r="G184" s="15" t="str">
        <f ca="1">IFERROR(__xludf.DUMMYFUNCTION("""COMPUTED_VALUE"""),"dan@dkboligteam.dk")</f>
        <v>dan@dkboligteam.dk</v>
      </c>
      <c r="H184" s="15">
        <f ca="1">IFERROR(__xludf.DUMMYFUNCTION("""COMPUTED_VALUE"""),22140070)</f>
        <v>22140070</v>
      </c>
      <c r="I184" s="14" t="str">
        <f ca="1">IFERROR(__xludf.DUMMYFUNCTION("""COMPUTED_VALUE"""),"Frederiksborgvej 65A")</f>
        <v>Frederiksborgvej 65A</v>
      </c>
      <c r="J184" s="14">
        <f ca="1">IFERROR(__xludf.DUMMYFUNCTION("""COMPUTED_VALUE"""),4000)</f>
        <v>4000</v>
      </c>
      <c r="K184" s="14" t="str">
        <f ca="1">IFERROR(__xludf.DUMMYFUNCTION("""COMPUTED_VALUE"""),"Roskilde")</f>
        <v>Roskilde</v>
      </c>
      <c r="L184" s="14"/>
      <c r="M184" s="14"/>
      <c r="N184" s="14"/>
      <c r="O184" s="14">
        <f ca="1">IFERROR(__xludf.DUMMYFUNCTION("""COMPUTED_VALUE"""),70707876)</f>
        <v>70707876</v>
      </c>
      <c r="P184" s="15" t="str">
        <f ca="1">IFERROR(__xludf.DUMMYFUNCTION("""COMPUTED_VALUE"""),"info@dkboligteam.dk")</f>
        <v>info@dkboligteam.dk</v>
      </c>
      <c r="Q184" s="15" t="str">
        <f ca="1">IFERROR(__xludf.DUMMYFUNCTION("""COMPUTED_VALUE"""),"https://www.boliga.dk/maegler/29131")</f>
        <v>https://www.boliga.dk/maegler/29131</v>
      </c>
      <c r="R184" s="14"/>
      <c r="S184" s="14"/>
      <c r="T184" s="14"/>
      <c r="U184" s="14"/>
      <c r="V184" s="14"/>
      <c r="W184" s="14"/>
      <c r="X184" s="14"/>
      <c r="Y184" s="14" t="str">
        <f ca="1">IFERROR(__xludf.DUMMYFUNCTION("""COMPUTED_VALUE"""),"ja")</f>
        <v>ja</v>
      </c>
      <c r="Z184" s="14"/>
      <c r="AA184" s="14"/>
      <c r="AB184" s="14" t="str">
        <f ca="1">IFERROR(__xludf.DUMMYFUNCTION("""COMPUTED_VALUE"""),"x")</f>
        <v>x</v>
      </c>
      <c r="AC184" s="14" t="str">
        <f ca="1">IFERROR(__xludf.DUMMYFUNCTION("""COMPUTED_VALUE"""),"x")</f>
        <v>x</v>
      </c>
    </row>
    <row r="185" spans="1:29" ht="12.5" x14ac:dyDescent="0.25">
      <c r="A185" s="14" t="str">
        <f ca="1">IFERROR(__xludf.DUMMYFUNCTION("""COMPUTED_VALUE"""),"Camilla")</f>
        <v>Camilla</v>
      </c>
      <c r="B185" s="14" t="str">
        <f ca="1">IFERROR(__xludf.DUMMYFUNCTION("""COMPUTED_VALUE"""),"DreistStorgaard Advokater")</f>
        <v>DreistStorgaard Advokater</v>
      </c>
      <c r="C185" s="14"/>
      <c r="D185" s="14"/>
      <c r="E185" s="14"/>
      <c r="F185" s="14" t="str">
        <f ca="1">IFERROR(__xludf.DUMMYFUNCTION("""COMPUTED_VALUE"""),"Camma Ryborg")</f>
        <v>Camma Ryborg</v>
      </c>
      <c r="G185" s="14" t="str">
        <f ca="1">IFERROR(__xludf.DUMMYFUNCTION("""COMPUTED_VALUE"""),"cry@dslaw.dk")</f>
        <v>cry@dslaw.dk</v>
      </c>
      <c r="H185" s="14">
        <f ca="1">IFERROR(__xludf.DUMMYFUNCTION("""COMPUTED_VALUE"""),93601405)</f>
        <v>93601405</v>
      </c>
      <c r="I185" s="14" t="str">
        <f ca="1">IFERROR(__xludf.DUMMYFUNCTION("""COMPUTED_VALUE"""),"Bag Haverne 32")</f>
        <v>Bag Haverne 32</v>
      </c>
      <c r="J185" s="14">
        <f ca="1">IFERROR(__xludf.DUMMYFUNCTION("""COMPUTED_VALUE"""),4600)</f>
        <v>4600</v>
      </c>
      <c r="K185" s="14" t="str">
        <f ca="1">IFERROR(__xludf.DUMMYFUNCTION("""COMPUTED_VALUE"""),"Køge")</f>
        <v>Køge</v>
      </c>
      <c r="L185" s="14"/>
      <c r="M185" s="14"/>
      <c r="N185" s="14"/>
      <c r="O185" s="14">
        <f ca="1">IFERROR(__xludf.DUMMYFUNCTION("""COMPUTED_VALUE"""),56634466)</f>
        <v>56634466</v>
      </c>
      <c r="P185" s="15" t="str">
        <f ca="1">IFERROR(__xludf.DUMMYFUNCTION("""COMPUTED_VALUE"""),"bolighandel@dslaw.dk")</f>
        <v>bolighandel@dslaw.dk</v>
      </c>
      <c r="Q185" s="15" t="str">
        <f ca="1">IFERROR(__xludf.DUMMYFUNCTION("""COMPUTED_VALUE"""),"https://www.boliga.dk/maegler/29132")</f>
        <v>https://www.boliga.dk/maegler/29132</v>
      </c>
      <c r="R185" s="14"/>
      <c r="S185" s="14"/>
      <c r="T185" s="14"/>
      <c r="U185" s="14"/>
      <c r="V185" s="14"/>
      <c r="W185" s="14"/>
      <c r="X185" s="14"/>
      <c r="Y185" s="14" t="str">
        <f ca="1">IFERROR(__xludf.DUMMYFUNCTION("""COMPUTED_VALUE"""),"ja")</f>
        <v>ja</v>
      </c>
      <c r="Z185" s="14"/>
      <c r="AA185" s="14"/>
      <c r="AB185" s="14" t="str">
        <f ca="1">IFERROR(__xludf.DUMMYFUNCTION("""COMPUTED_VALUE"""),"x")</f>
        <v>x</v>
      </c>
      <c r="AC185" s="14"/>
    </row>
    <row r="186" spans="1:29" ht="12.5" x14ac:dyDescent="0.25">
      <c r="A186" s="14" t="str">
        <f ca="1">IFERROR(__xludf.DUMMYFUNCTION("""COMPUTED_VALUE"""),"Camilla")</f>
        <v>Camilla</v>
      </c>
      <c r="B186" s="14" t="str">
        <f ca="1">IFERROR(__xludf.DUMMYFUNCTION("""COMPUTED_VALUE"""),"BoligOne Vejle")</f>
        <v>BoligOne Vejle</v>
      </c>
      <c r="C186" s="14">
        <f ca="1">IFERROR(__xludf.DUMMYFUNCTION("""COMPUTED_VALUE"""),28608039)</f>
        <v>28608039</v>
      </c>
      <c r="D186" s="14" t="str">
        <f ca="1">IFERROR(__xludf.DUMMYFUNCTION("""COMPUTED_VALUE"""),"MG-JY: 2.499,-")</f>
        <v>MG-JY: 2.499,-</v>
      </c>
      <c r="E186" s="14">
        <f ca="1">IFERROR(__xludf.DUMMYFUNCTION("""COMPUTED_VALUE"""),1201)</f>
        <v>1201</v>
      </c>
      <c r="F186" s="14" t="str">
        <f ca="1">IFERROR(__xludf.DUMMYFUNCTION("""COMPUTED_VALUE"""),"Bo Hulegaard")</f>
        <v>Bo Hulegaard</v>
      </c>
      <c r="G186" s="14" t="str">
        <f ca="1">IFERROR(__xludf.DUMMYFUNCTION("""COMPUTED_VALUE"""),"bo@boligone.dk")</f>
        <v>bo@boligone.dk</v>
      </c>
      <c r="H186" s="14" t="str">
        <f ca="1">IFERROR(__xludf.DUMMYFUNCTION("""COMPUTED_VALUE"""),"27 62 78 77")</f>
        <v>27 62 78 77</v>
      </c>
      <c r="I186" s="14" t="str">
        <f ca="1">IFERROR(__xludf.DUMMYFUNCTION("""COMPUTED_VALUE"""),"Holtumvej 15")</f>
        <v>Holtumvej 15</v>
      </c>
      <c r="J186" s="14">
        <f ca="1">IFERROR(__xludf.DUMMYFUNCTION("""COMPUTED_VALUE"""),7100)</f>
        <v>7100</v>
      </c>
      <c r="K186" s="14" t="str">
        <f ca="1">IFERROR(__xludf.DUMMYFUNCTION("""COMPUTED_VALUE"""),"Vejle")</f>
        <v>Vejle</v>
      </c>
      <c r="L186" s="14"/>
      <c r="M186" s="14"/>
      <c r="N186" s="14"/>
      <c r="O186" s="14">
        <f ca="1">IFERROR(__xludf.DUMMYFUNCTION("""COMPUTED_VALUE"""),76740005)</f>
        <v>76740005</v>
      </c>
      <c r="P186" s="14" t="str">
        <f ca="1">IFERROR(__xludf.DUMMYFUNCTION("""COMPUTED_VALUE"""),"bo@boligone.dk")</f>
        <v>bo@boligone.dk</v>
      </c>
      <c r="Q186" s="15" t="str">
        <f ca="1">IFERROR(__xludf.DUMMYFUNCTION("""COMPUTED_VALUE"""),"https://www.boliga.dk/maegler/29129")</f>
        <v>https://www.boliga.dk/maegler/29129</v>
      </c>
      <c r="R186" s="14"/>
      <c r="S186" s="14"/>
      <c r="T186" s="14"/>
      <c r="U186" s="14"/>
      <c r="V186" s="14"/>
      <c r="W186" s="14"/>
      <c r="X186" s="14"/>
      <c r="Y186" s="14" t="str">
        <f ca="1">IFERROR(__xludf.DUMMYFUNCTION("""COMPUTED_VALUE"""),"ja")</f>
        <v>ja</v>
      </c>
      <c r="Z186" s="14"/>
      <c r="AA186" s="14"/>
      <c r="AB186" s="14" t="str">
        <f ca="1">IFERROR(__xludf.DUMMYFUNCTION("""COMPUTED_VALUE"""),"x")</f>
        <v>x</v>
      </c>
      <c r="AC186" s="14" t="str">
        <f ca="1">IFERROR(__xludf.DUMMYFUNCTION("""COMPUTED_VALUE"""),"x")</f>
        <v>x</v>
      </c>
    </row>
  </sheetData>
  <hyperlinks>
    <hyperlink ref="Q2" r:id="rId1" display="https://www.boliga.dk/maegler/26073" xr:uid="{00000000-0004-0000-0A00-000000000000}"/>
    <hyperlink ref="Q3" r:id="rId2" display="https://www.boliga.dk/maegler/27601" xr:uid="{00000000-0004-0000-0A00-000001000000}"/>
    <hyperlink ref="Q4" r:id="rId3" display="https://www.boliga.dk/maegler/25806" xr:uid="{00000000-0004-0000-0A00-000002000000}"/>
    <hyperlink ref="G5" r:id="rId4" display="mailto:%20anne-mette@minbolighandel.dk" xr:uid="{00000000-0004-0000-0A00-000003000000}"/>
    <hyperlink ref="Q5" r:id="rId5" display="https://www.boliga.dk/maegler/25807" xr:uid="{00000000-0004-0000-0A00-000004000000}"/>
    <hyperlink ref="Q6" r:id="rId6" display="https://www.boliga.dk/maegler/27892" xr:uid="{00000000-0004-0000-0A00-000005000000}"/>
    <hyperlink ref="Q7" r:id="rId7" display="https://www.boliga.dk/maegler/27894" xr:uid="{00000000-0004-0000-0A00-000006000000}"/>
    <hyperlink ref="Q8" r:id="rId8" display="https://www.boliga.dk/maegler/25815" xr:uid="{00000000-0004-0000-0A00-000007000000}"/>
    <hyperlink ref="Q9" r:id="rId9" display="https://www.boliga.dk/maegler/25819" xr:uid="{00000000-0004-0000-0A00-000008000000}"/>
    <hyperlink ref="Q11" r:id="rId10" display="https://www.boliga.dk/maegler/28424" xr:uid="{00000000-0004-0000-0A00-000009000000}"/>
    <hyperlink ref="Q12" r:id="rId11" display="https://www.boliga.dk/maegler/25817" xr:uid="{00000000-0004-0000-0A00-00000A000000}"/>
    <hyperlink ref="Q13" r:id="rId12" display="https://www.boliga.dk/maegler/27895" xr:uid="{00000000-0004-0000-0A00-00000B000000}"/>
    <hyperlink ref="Q14" r:id="rId13" display="https://www.boliga.dk/maegler/25813" xr:uid="{00000000-0004-0000-0A00-00000C000000}"/>
    <hyperlink ref="Q15" r:id="rId14" display="https://www.boliga.dk/maegler/29093" xr:uid="{00000000-0004-0000-0A00-00000D000000}"/>
    <hyperlink ref="Q16" r:id="rId15" display="https://www.boliga.dk/maegler/27891" xr:uid="{00000000-0004-0000-0A00-00000E000000}"/>
    <hyperlink ref="Q17" r:id="rId16" display="https://www.boliga.dk/maegler/27896" xr:uid="{00000000-0004-0000-0A00-00000F000000}"/>
    <hyperlink ref="G18" r:id="rId17" display="mailto:ame@robinhus.dk" xr:uid="{00000000-0004-0000-0A00-000010000000}"/>
    <hyperlink ref="Q18" r:id="rId18" display="https://www.boliga.dk/maegler/27547" xr:uid="{00000000-0004-0000-0A00-000011000000}"/>
    <hyperlink ref="Q19" r:id="rId19" display="https://www.boliga.dk/maegler/27526" xr:uid="{00000000-0004-0000-0A00-000012000000}"/>
    <hyperlink ref="Q20" r:id="rId20" display="https://www.boliga.dk/maegler/27537" xr:uid="{00000000-0004-0000-0A00-000013000000}"/>
    <hyperlink ref="Q21" r:id="rId21" display="https://www.boliga.dk/maegler/27525" xr:uid="{00000000-0004-0000-0A00-000014000000}"/>
    <hyperlink ref="Q22" r:id="rId22" display="https://www.boliga.dk/maegler/29095" xr:uid="{00000000-0004-0000-0A00-000015000000}"/>
    <hyperlink ref="Q23" r:id="rId23" display="https://www.boliga.dk/maegler/27538" xr:uid="{00000000-0004-0000-0A00-000016000000}"/>
    <hyperlink ref="Q24" r:id="rId24" display="https://www.boliga.dk/maegler/27539" xr:uid="{00000000-0004-0000-0A00-000017000000}"/>
    <hyperlink ref="Q25" r:id="rId25" display="https://www.boliga.dk/maegler/27528" xr:uid="{00000000-0004-0000-0A00-000018000000}"/>
    <hyperlink ref="Q26" r:id="rId26" display="https://www.boliga.dk/maegler/17119" xr:uid="{00000000-0004-0000-0A00-000019000000}"/>
    <hyperlink ref="Q27" r:id="rId27" display="https://www.boliga.dk/maegler/26901" xr:uid="{00000000-0004-0000-0A00-00001A000000}"/>
    <hyperlink ref="Q28" r:id="rId28" display="https://www.boliga.dk/maegler/25544" xr:uid="{00000000-0004-0000-0A00-00001B000000}"/>
    <hyperlink ref="Q29" r:id="rId29" display="https://www.boliga.dk/maegler/28936" xr:uid="{00000000-0004-0000-0A00-00001C000000}"/>
    <hyperlink ref="G30" r:id="rId30" display="mailto:info@bernstorffestate.dk" xr:uid="{00000000-0004-0000-0A00-00001D000000}"/>
    <hyperlink ref="Q30" r:id="rId31" display="https://www.boliga.dk/maegler/26590" xr:uid="{00000000-0004-0000-0A00-00001E000000}"/>
    <hyperlink ref="Q31" r:id="rId32" display="https://www.boliga.dk/maegler/27613" xr:uid="{00000000-0004-0000-0A00-00001F000000}"/>
    <hyperlink ref="Q32" r:id="rId33" display="https://www.boliga.dk/maegler/431" xr:uid="{00000000-0004-0000-0A00-000020000000}"/>
    <hyperlink ref="Q33" r:id="rId34" display="https://www.boliga.dk/maegler/17463" xr:uid="{00000000-0004-0000-0A00-000021000000}"/>
    <hyperlink ref="B34" r:id="rId35" display="http://boligbolig.dk/" xr:uid="{00000000-0004-0000-0A00-000022000000}"/>
    <hyperlink ref="Q34" r:id="rId36" display="https://www.boliga.dk/maegler/27801" xr:uid="{00000000-0004-0000-0A00-000023000000}"/>
    <hyperlink ref="G35" r:id="rId37" display="mailto:%20jonas@boligkompagniet.dk" xr:uid="{00000000-0004-0000-0A00-000024000000}"/>
    <hyperlink ref="Q35" r:id="rId38" display="https://www.boliga.dk/maegler/28455" xr:uid="{00000000-0004-0000-0A00-000025000000}"/>
    <hyperlink ref="Q36" r:id="rId39" display="https://www.boliga.dk/maegler/22381" xr:uid="{00000000-0004-0000-0A00-000026000000}"/>
    <hyperlink ref="Q37" r:id="rId40" display="https://www.boliga.dk/maegler/29110" xr:uid="{00000000-0004-0000-0A00-000027000000}"/>
    <hyperlink ref="Q38" r:id="rId41" display="https://www.boliga.dk/maegler/27807" xr:uid="{00000000-0004-0000-0A00-000028000000}"/>
    <hyperlink ref="Q39" r:id="rId42" display="https://www.boliga.dk/maegler/25624" xr:uid="{00000000-0004-0000-0A00-000029000000}"/>
    <hyperlink ref="G40" r:id="rId43" display="mailto:dc@carlssonliving.dk" xr:uid="{00000000-0004-0000-0A00-00002A000000}"/>
    <hyperlink ref="Q40" r:id="rId44" display="https://www.boliga.dk/maegler/26473" xr:uid="{00000000-0004-0000-0A00-00002B000000}"/>
    <hyperlink ref="Q41" r:id="rId45" display="https://www.boliga.dk/maegler/26472" xr:uid="{00000000-0004-0000-0A00-00002C000000}"/>
    <hyperlink ref="Q42" r:id="rId46" display="https://www.boliga.dk/maegler/25432" xr:uid="{00000000-0004-0000-0A00-00002D000000}"/>
    <hyperlink ref="Q43" r:id="rId47" display="https://www.boliga.dk/maegler/17194" xr:uid="{00000000-0004-0000-0A00-00002E000000}"/>
    <hyperlink ref="G44" r:id="rId48" display="mailto:info@jakobmunk-petersen.dk" xr:uid="{00000000-0004-0000-0A00-00002F000000}"/>
    <hyperlink ref="Q44" r:id="rId49" display="https://www.boliga.dk/maegler/28697" xr:uid="{00000000-0004-0000-0A00-000030000000}"/>
    <hyperlink ref="Q45" r:id="rId50" display="https://www.boliga.dk/maegler/20169" xr:uid="{00000000-0004-0000-0A00-000031000000}"/>
    <hyperlink ref="Q46" r:id="rId51" display="https://www.boliga.dk/maegler/29092" xr:uid="{00000000-0004-0000-0A00-000032000000}"/>
    <hyperlink ref="Q47" r:id="rId52" display="https://www.boliga.dk/maegler/29043" xr:uid="{00000000-0004-0000-0A00-000033000000}"/>
    <hyperlink ref="Q48" r:id="rId53" display="https://www.boliga.dk/maegler/22397" xr:uid="{00000000-0004-0000-0A00-000034000000}"/>
    <hyperlink ref="Q49" r:id="rId54" display="https://www.boliga.dk/maegler/24522" xr:uid="{00000000-0004-0000-0A00-000035000000}"/>
    <hyperlink ref="Q50" r:id="rId55" display="https://www.boliga.dk/maegler/22489" xr:uid="{00000000-0004-0000-0A00-000036000000}"/>
    <hyperlink ref="G51" r:id="rId56" display="mailto:cecilie@fokusmaeglerne.dk" xr:uid="{00000000-0004-0000-0A00-000037000000}"/>
    <hyperlink ref="Q51" r:id="rId57" display="https://www.boliga.dk/maegler/26902" xr:uid="{00000000-0004-0000-0A00-000038000000}"/>
    <hyperlink ref="Q52" r:id="rId58" display="https://www.boliga.dk/maegler/22383" xr:uid="{00000000-0004-0000-0A00-000039000000}"/>
    <hyperlink ref="Q53" r:id="rId59" display="https://www.boliga.dk/maegler/25217" xr:uid="{00000000-0004-0000-0A00-00003A000000}"/>
    <hyperlink ref="Q54" r:id="rId60" display="https://www.boliga.dk/maegler/18206" xr:uid="{00000000-0004-0000-0A00-00003B000000}"/>
    <hyperlink ref="Q55" r:id="rId61" display="https://www.boliga.dk/maegler/26945" xr:uid="{00000000-0004-0000-0A00-00003C000000}"/>
    <hyperlink ref="Q56" r:id="rId62" display="https://www.boliga.dk/maegler/28918" xr:uid="{00000000-0004-0000-0A00-00003D000000}"/>
    <hyperlink ref="Q57" r:id="rId63" display="https://www.boliga.dk/maegler/25319" xr:uid="{00000000-0004-0000-0A00-00003E000000}"/>
    <hyperlink ref="Q58" r:id="rId64" display="https://www.boliga.dk/maegler/27284" xr:uid="{00000000-0004-0000-0A00-00003F000000}"/>
    <hyperlink ref="Q59" r:id="rId65" display="https://www.boliga.dk/maegler/25192" xr:uid="{00000000-0004-0000-0A00-000040000000}"/>
    <hyperlink ref="G60" r:id="rId66" display="mailto:cbm@jespernielsen.dk" xr:uid="{00000000-0004-0000-0A00-000041000000}"/>
    <hyperlink ref="Q60" r:id="rId67" display="https://www.boliga.dk/maegler/26981" xr:uid="{00000000-0004-0000-0A00-000042000000}"/>
    <hyperlink ref="Q61" r:id="rId68" display="https://www.boliga.dk/maegler/29034" xr:uid="{00000000-0004-0000-0A00-000043000000}"/>
    <hyperlink ref="G62" r:id="rId69" display="mailto:jps@jespernielsen.dk" xr:uid="{00000000-0004-0000-0A00-000044000000}"/>
    <hyperlink ref="Q62" r:id="rId70" display="https://www.boliga.dk/maegler/26993" xr:uid="{00000000-0004-0000-0A00-000045000000}"/>
    <hyperlink ref="Q63" r:id="rId71" display="https://www.boliga.dk/maegler/26992" xr:uid="{00000000-0004-0000-0A00-000046000000}"/>
    <hyperlink ref="P64" r:id="rId72" display="mailto:FINDHJEM4300@JESPERNIELSEN.DK" xr:uid="{00000000-0004-0000-0A00-000047000000}"/>
    <hyperlink ref="Q64" r:id="rId73" display="https://www.boliga.dk/maegler/29108" xr:uid="{00000000-0004-0000-0A00-000048000000}"/>
    <hyperlink ref="Q65" r:id="rId74" display="https://www.boliga.dk/maegler/22083" xr:uid="{00000000-0004-0000-0A00-000049000000}"/>
    <hyperlink ref="Q66" r:id="rId75" display="https://www.boliga.dk/maegler/25877" xr:uid="{00000000-0004-0000-0A00-00004A000000}"/>
    <hyperlink ref="Q67" r:id="rId76" display="https://www.boliga.dk/maegler/23833" xr:uid="{00000000-0004-0000-0A00-00004B000000}"/>
    <hyperlink ref="Q68" r:id="rId77" display="https://www.boliga.dk/maegler/26509" xr:uid="{00000000-0004-0000-0A00-00004C000000}"/>
    <hyperlink ref="B69" r:id="rId78" display="http://letboligsalg.dk/" xr:uid="{00000000-0004-0000-0A00-00004D000000}"/>
    <hyperlink ref="Q69" r:id="rId79" display="https://www.boliga.dk/maegler/24567" xr:uid="{00000000-0004-0000-0A00-00004E000000}"/>
    <hyperlink ref="Q70" r:id="rId80" display="https://www.boliga.dk/maegler/18520" xr:uid="{00000000-0004-0000-0A00-00004F000000}"/>
    <hyperlink ref="G71" r:id="rId81" display="mailto:kristian@lutzau.dk" xr:uid="{00000000-0004-0000-0A00-000050000000}"/>
    <hyperlink ref="Q71" r:id="rId82" display="https://www.boliga.dk/maegler/17998" xr:uid="{00000000-0004-0000-0A00-000051000000}"/>
    <hyperlink ref="Q72" r:id="rId83" display="https://www.boliga.dk/maegler/25488" xr:uid="{00000000-0004-0000-0A00-000052000000}"/>
    <hyperlink ref="Q73" r:id="rId84" display="https://www.boliga.dk/maegler/25804" xr:uid="{00000000-0004-0000-0A00-000053000000}"/>
    <hyperlink ref="G74" r:id="rId85" display="mailto:susanne@minbolighandel.dk" xr:uid="{00000000-0004-0000-0A00-000054000000}"/>
    <hyperlink ref="Q74" r:id="rId86" display="https://www.boliga.dk/maegler/25802" xr:uid="{00000000-0004-0000-0A00-000055000000}"/>
    <hyperlink ref="G75" r:id="rId87" display="mailto:susanne@minbolighandel.dk" xr:uid="{00000000-0004-0000-0A00-000056000000}"/>
    <hyperlink ref="Q75" r:id="rId88" display="https://www.boliga.dk/maegler/25802" xr:uid="{00000000-0004-0000-0A00-000057000000}"/>
    <hyperlink ref="G76" r:id="rId89" display="mailto:jg@mmliving.dk" xr:uid="{00000000-0004-0000-0A00-000058000000}"/>
    <hyperlink ref="Q76" r:id="rId90" display="https://www.boliga.dk/maegler/26076" xr:uid="{00000000-0004-0000-0A00-000059000000}"/>
    <hyperlink ref="Q77" r:id="rId91" display="https://www.boliga.dk/maegler/24688" xr:uid="{00000000-0004-0000-0A00-00005A000000}"/>
    <hyperlink ref="G78" r:id="rId92" display="mailto:nk@nicolajkejser.dk" xr:uid="{00000000-0004-0000-0A00-00005B000000}"/>
    <hyperlink ref="Q78" r:id="rId93" display="https://www.boliga.dk/maegler/27277" xr:uid="{00000000-0004-0000-0A00-00005C000000}"/>
    <hyperlink ref="G79" r:id="rId94" display="mailto:nikolai@vlasman.dk" xr:uid="{00000000-0004-0000-0A00-00005D000000}"/>
    <hyperlink ref="Q79" r:id="rId95" display="https://www.boliga.dk/maegler/29119" xr:uid="{00000000-0004-0000-0A00-00005E000000}"/>
    <hyperlink ref="Q80" r:id="rId96" display="https://www.boliga.dk/maegler/26586" xr:uid="{00000000-0004-0000-0A00-00005F000000}"/>
    <hyperlink ref="Q81" r:id="rId97" display="https://www.boliga.dk/maegler/26586" xr:uid="{00000000-0004-0000-0A00-000060000000}"/>
    <hyperlink ref="Q82" r:id="rId98" display="https://www.boliga.dk/maegler/26586" xr:uid="{00000000-0004-0000-0A00-000061000000}"/>
    <hyperlink ref="Q83" r:id="rId99" display="https://www.boliga.dk/maegler/26974" xr:uid="{00000000-0004-0000-0A00-000062000000}"/>
    <hyperlink ref="G84" r:id="rId100" display="mailto:nicolai@karhofbolig.dk" xr:uid="{00000000-0004-0000-0A00-000063000000}"/>
    <hyperlink ref="Q84" r:id="rId101" display="https://www.boliga.dk/maegler/29097" xr:uid="{00000000-0004-0000-0A00-000064000000}"/>
    <hyperlink ref="Q85" r:id="rId102" display="https://www.boliga.dk/maegler/27549" xr:uid="{00000000-0004-0000-0A00-000065000000}"/>
    <hyperlink ref="Q86" r:id="rId103" display="https://www.boliga.dk/maegler/883" xr:uid="{00000000-0004-0000-0A00-000066000000}"/>
    <hyperlink ref="Q87" r:id="rId104" display="https://www.boliga.dk/maegler/17151" xr:uid="{00000000-0004-0000-0A00-000067000000}"/>
    <hyperlink ref="Q88" r:id="rId105" display="https://www.boliga.dk/maegler/25452" xr:uid="{00000000-0004-0000-0A00-000068000000}"/>
    <hyperlink ref="Q89" r:id="rId106" display="https://www.boliga.dk/maegler/27300" xr:uid="{00000000-0004-0000-0A00-000069000000}"/>
    <hyperlink ref="Q90" r:id="rId107" display="https://www.boliga.dk/maegler/17294" xr:uid="{00000000-0004-0000-0A00-00006A000000}"/>
    <hyperlink ref="G91" r:id="rId108" display="mailto:colding@vedel-colding.dk" xr:uid="{00000000-0004-0000-0A00-00006B000000}"/>
    <hyperlink ref="Q91" r:id="rId109" display="https://www.boliga.dk/maegler/24806" xr:uid="{00000000-0004-0000-0A00-00006C000000}"/>
    <hyperlink ref="Q92" r:id="rId110" display="https://www.boliga.dk/maegler/24200" xr:uid="{00000000-0004-0000-0A00-00006D000000}"/>
    <hyperlink ref="Q93" r:id="rId111" display="https://www.boliga.dk/maegler/17203" xr:uid="{00000000-0004-0000-0A00-00006E000000}"/>
    <hyperlink ref="G94" r:id="rId112" display="mailto:khw@wilstrupbolig.dk" xr:uid="{00000000-0004-0000-0A00-00006F000000}"/>
    <hyperlink ref="Q94" r:id="rId113" display="https://www.boliga.dk/maegler/25363" xr:uid="{00000000-0004-0000-0A00-000070000000}"/>
    <hyperlink ref="B95" r:id="rId114" display="http://wohn.dk/" xr:uid="{00000000-0004-0000-0A00-000071000000}"/>
    <hyperlink ref="G95" r:id="rId115" display="mailto:michael@boligraadgiver.dk" xr:uid="{00000000-0004-0000-0A00-000072000000}"/>
    <hyperlink ref="Q95" r:id="rId116" display="https://www.boliga.dk/maegler/28350" xr:uid="{00000000-0004-0000-0A00-000073000000}"/>
    <hyperlink ref="Q96" r:id="rId117" display="https://www.boliga.dk/maegler/26330" xr:uid="{00000000-0004-0000-0A00-000074000000}"/>
    <hyperlink ref="Q97" r:id="rId118" display="https://www.boliga.dk/maegler/644" xr:uid="{00000000-0004-0000-0A00-000075000000}"/>
    <hyperlink ref="Q98" r:id="rId119" display="https://www.boliga.dk/maegler/28359" xr:uid="{00000000-0004-0000-0A00-000076000000}"/>
    <hyperlink ref="G99" r:id="rId120" display="mailto:cb@brandeboligsalg.dk" xr:uid="{00000000-0004-0000-0A00-000077000000}"/>
    <hyperlink ref="Q99" r:id="rId121" display="https://www.boliga.dk/maegler/17229" xr:uid="{00000000-0004-0000-0A00-000078000000}"/>
    <hyperlink ref="Q100" r:id="rId122" display="https://www.boliga.dk/maegler/26905" xr:uid="{00000000-0004-0000-0A00-000079000000}"/>
    <hyperlink ref="Q101" r:id="rId123" display="https://www.boliga.dk/maegler/18759" xr:uid="{00000000-0004-0000-0A00-00007A000000}"/>
    <hyperlink ref="Q102" r:id="rId124" display="https://www.boliga.dk/maegler/26331" xr:uid="{00000000-0004-0000-0A00-00007B000000}"/>
    <hyperlink ref="Q103" r:id="rId125" display="https://www.boliga.dk/maegler/26896" xr:uid="{00000000-0004-0000-0A00-00007C000000}"/>
    <hyperlink ref="Q104" r:id="rId126" display="https://www.boliga.dk/maegler/28901" xr:uid="{00000000-0004-0000-0A00-00007D000000}"/>
    <hyperlink ref="Q105" r:id="rId127" display="https://www.boliga.dk/maegler/28207" xr:uid="{00000000-0004-0000-0A00-00007E000000}"/>
    <hyperlink ref="Q106" r:id="rId128" display="https://www.boliga.dk/maegler/29137" xr:uid="{00000000-0004-0000-0A00-00007F000000}"/>
    <hyperlink ref="P107" r:id="rId129" display="mailto:findhjem7400@jespernielsen.dk" xr:uid="{00000000-0004-0000-0A00-000080000000}"/>
    <hyperlink ref="Q107" r:id="rId130" display="https://www.boliga.dk/maegler/29138" xr:uid="{00000000-0004-0000-0A00-000081000000}"/>
    <hyperlink ref="P108" r:id="rId131" display="mailto:info@kesam.dk" xr:uid="{00000000-0004-0000-0A00-000082000000}"/>
    <hyperlink ref="Q108" r:id="rId132" display="https://www.boliga.dk/maegler/25237" xr:uid="{00000000-0004-0000-0A00-000083000000}"/>
    <hyperlink ref="Q109" r:id="rId133" display="https://www.boliga.dk/maegler/27147" xr:uid="{00000000-0004-0000-0A00-000084000000}"/>
    <hyperlink ref="Q110" r:id="rId134" display="https://www.boliga.dk/maegler/22389" xr:uid="{00000000-0004-0000-0A00-000085000000}"/>
    <hyperlink ref="Q111" r:id="rId135" display="https://www.boliga.dk/maegler/25810" xr:uid="{00000000-0004-0000-0A00-000086000000}"/>
    <hyperlink ref="Q112" r:id="rId136" display="https://www.boliga.dk/maegler/22391" xr:uid="{00000000-0004-0000-0A00-000087000000}"/>
    <hyperlink ref="Q113" r:id="rId137" display="https://www.boliga.dk/maegler/25500" xr:uid="{00000000-0004-0000-0A00-000088000000}"/>
    <hyperlink ref="Q114" r:id="rId138" display="https://www.boliga.dk/maegler/22020" xr:uid="{00000000-0004-0000-0A00-000089000000}"/>
    <hyperlink ref="G115" r:id="rId139" display="mailto:christina@dit-hjem.dk" xr:uid="{00000000-0004-0000-0A00-00008A000000}"/>
    <hyperlink ref="Q115" r:id="rId140" display="https://www.boliga.dk/maegler/28683" xr:uid="{00000000-0004-0000-0A00-00008B000000}"/>
    <hyperlink ref="Q116" r:id="rId141" display="https://www.boliga.dk/maegler/24822" xr:uid="{00000000-0004-0000-0A00-00008C000000}"/>
    <hyperlink ref="Q117" r:id="rId142" display="https://www.boliga.dk/maegler/27520" xr:uid="{00000000-0004-0000-0A00-00008D000000}"/>
    <hyperlink ref="Q118" r:id="rId143" display="https://www.boliga.dk/maegler/29037" xr:uid="{00000000-0004-0000-0A00-00008E000000}"/>
    <hyperlink ref="Q119" r:id="rId144" display="https://www.boliga.dk/maegler/27134" xr:uid="{00000000-0004-0000-0A00-00008F000000}"/>
    <hyperlink ref="Q120" r:id="rId145" display="https://www.boliga.dk/maegler/17166" xr:uid="{00000000-0004-0000-0A00-000090000000}"/>
    <hyperlink ref="Q121" r:id="rId146" display="https://www.boliga.dk/maegler/26338" xr:uid="{00000000-0004-0000-0A00-000091000000}"/>
    <hyperlink ref="Q122" r:id="rId147" display="https://www.boliga.dk/maegler/26438" xr:uid="{00000000-0004-0000-0A00-000092000000}"/>
    <hyperlink ref="Q123" r:id="rId148" display="https://www.boliga.dk/maegler/21053" xr:uid="{00000000-0004-0000-0A00-000093000000}"/>
    <hyperlink ref="Q124" r:id="rId149" display="https://www.boliga.dk/maegler/19156" xr:uid="{00000000-0004-0000-0A00-000094000000}"/>
    <hyperlink ref="Q125" r:id="rId150" display="https://www.boliga.dk/maegler/25213" xr:uid="{00000000-0004-0000-0A00-000095000000}"/>
    <hyperlink ref="Q126" r:id="rId151" display="https://www.boliga.dk/maegler/29042" xr:uid="{00000000-0004-0000-0A00-000096000000}"/>
    <hyperlink ref="Q127" r:id="rId152" display="https://www.boliga.dk/maegler/25219" xr:uid="{00000000-0004-0000-0A00-000097000000}"/>
    <hyperlink ref="Q128" r:id="rId153" display="https://www.boliga.dk/maegler/26" xr:uid="{00000000-0004-0000-0A00-000098000000}"/>
    <hyperlink ref="Q129" r:id="rId154" display="https://www.boliga.dk/maegler/26991" xr:uid="{00000000-0004-0000-0A00-000099000000}"/>
    <hyperlink ref="Q130" r:id="rId155" display="https://www.boliga.dk/maegler/25252" xr:uid="{00000000-0004-0000-0A00-00009A000000}"/>
    <hyperlink ref="Q131" r:id="rId156" display="https://www.boliga.dk/maegler/26537" xr:uid="{00000000-0004-0000-0A00-00009B000000}"/>
    <hyperlink ref="G132" r:id="rId157" display="mailto:%20jonas@boligkompagniet.dk" xr:uid="{00000000-0004-0000-0A00-00009C000000}"/>
    <hyperlink ref="Q132" r:id="rId158" display="https://www.boliga.dk/maegler/17267" xr:uid="{00000000-0004-0000-0A00-00009D000000}"/>
    <hyperlink ref="Q133" r:id="rId159" display="https://www.boliga.dk/maegler/28365" xr:uid="{00000000-0004-0000-0A00-00009E000000}"/>
    <hyperlink ref="G134" r:id="rId160" display="mailto:magnus@boligone.dk" xr:uid="{00000000-0004-0000-0A00-00009F000000}"/>
    <hyperlink ref="Q134" r:id="rId161" display="https://www.boliga.dk/maegler/29125" xr:uid="{00000000-0004-0000-0A00-0000A0000000}"/>
    <hyperlink ref="Q135" r:id="rId162" display="https://www.boliga.dk/maegler/25519" xr:uid="{00000000-0004-0000-0A00-0000A1000000}"/>
    <hyperlink ref="G136" r:id="rId163" display="mailto:nanna@danskebolig.dk" xr:uid="{00000000-0004-0000-0A00-0000A2000000}"/>
    <hyperlink ref="Q136" r:id="rId164" display="https://www.boliga.dk/maegler/25982" xr:uid="{00000000-0004-0000-0A00-0000A3000000}"/>
    <hyperlink ref="Q137" r:id="rId165" display="https://www.boliga.dk/maegler/26683" xr:uid="{00000000-0004-0000-0A00-0000A4000000}"/>
    <hyperlink ref="G138" r:id="rId166" display="mailto:an@afbolig.dk" xr:uid="{00000000-0004-0000-0A00-0000A5000000}"/>
    <hyperlink ref="Q138" r:id="rId167" display="https://www.boliga.dk/maegler/25199" xr:uid="{00000000-0004-0000-0A00-0000A6000000}"/>
    <hyperlink ref="Q139" r:id="rId168" display="https://www.boliga.dk/maegler/17221" xr:uid="{00000000-0004-0000-0A00-0000A7000000}"/>
    <hyperlink ref="Q140" r:id="rId169" display="https://www.boliga.dk/maegler/22382" xr:uid="{00000000-0004-0000-0A00-0000A8000000}"/>
    <hyperlink ref="G141" r:id="rId170" display="mailto:lars@ekmanbolig.dk" xr:uid="{00000000-0004-0000-0A00-0000A9000000}"/>
    <hyperlink ref="Q141" r:id="rId171" display="https://www.boliga.dk/maegler/17139" xr:uid="{00000000-0004-0000-0A00-0000AA000000}"/>
    <hyperlink ref="Q142" r:id="rId172" display="https://www.boliga.dk/maegler/20867" xr:uid="{00000000-0004-0000-0A00-0000AB000000}"/>
    <hyperlink ref="Q143" r:id="rId173" display="https://www.boliga.dk/maegler/25623" xr:uid="{00000000-0004-0000-0A00-0000AC000000}"/>
    <hyperlink ref="Q144" r:id="rId174" display="https://www.boliga.dk/maegler/22387" xr:uid="{00000000-0004-0000-0A00-0000AD000000}"/>
    <hyperlink ref="Q145" r:id="rId175" display="https://www.boliga.dk/maegler/25808" xr:uid="{00000000-0004-0000-0A00-0000AE000000}"/>
    <hyperlink ref="Q146" r:id="rId176" display="https://www.boliga.dk/maegler/25818" xr:uid="{00000000-0004-0000-0A00-0000AF000000}"/>
    <hyperlink ref="Q147" r:id="rId177" display="https://www.boliga.dk/maegler/25225" xr:uid="{00000000-0004-0000-0A00-0000B0000000}"/>
    <hyperlink ref="Q148" r:id="rId178" display="https://www.boliga.dk/maegler/25225" xr:uid="{00000000-0004-0000-0A00-0000B1000000}"/>
    <hyperlink ref="Q149" r:id="rId179" display="https://www.boliga.dk/maegler/26161" xr:uid="{00000000-0004-0000-0A00-0000B2000000}"/>
    <hyperlink ref="Q150" r:id="rId180" display="https://www.boliga.dk/maegler/26342" xr:uid="{00000000-0004-0000-0A00-0000B3000000}"/>
    <hyperlink ref="Q151" r:id="rId181" display="https://www.boliga.dk/maegler/26672" xr:uid="{00000000-0004-0000-0A00-0000B4000000}"/>
    <hyperlink ref="Q152" r:id="rId182" display="https://www.boliga.dk/maegler/26334" xr:uid="{00000000-0004-0000-0A00-0000B5000000}"/>
    <hyperlink ref="Q153" r:id="rId183" display="https://www.boliga.dk/maegler/26767" xr:uid="{00000000-0004-0000-0A00-0000B6000000}"/>
    <hyperlink ref="Q154" r:id="rId184" display="https://www.boliga.dk/maegler/851" xr:uid="{00000000-0004-0000-0A00-0000B7000000}"/>
    <hyperlink ref="Q155" r:id="rId185" display="https://www.boliga.dk/maegler/27495" xr:uid="{00000000-0004-0000-0A00-0000B8000000}"/>
    <hyperlink ref="Q156" r:id="rId186" display="https://www.boliga.dk/maegler/17673" xr:uid="{00000000-0004-0000-0A00-0000B9000000}"/>
    <hyperlink ref="Q157" r:id="rId187" display="https://www.boliga.dk/maegler/29027" xr:uid="{00000000-0004-0000-0A00-0000BA000000}"/>
    <hyperlink ref="Q158" r:id="rId188" display="https://www.boliga.dk/maegler/26895" xr:uid="{00000000-0004-0000-0A00-0000BB000000}"/>
    <hyperlink ref="Q159" r:id="rId189" display="https://www.boliga.dk/maegler/25063" xr:uid="{00000000-0004-0000-0A00-0000BC000000}"/>
    <hyperlink ref="G160" r:id="rId190" display="mailto:tly@boligone.dk" xr:uid="{00000000-0004-0000-0A00-0000BD000000}"/>
    <hyperlink ref="Q160" r:id="rId191" display="https://www.boliga.dk/maegler/28361" xr:uid="{00000000-0004-0000-0A00-0000BE000000}"/>
    <hyperlink ref="Q161" r:id="rId192" display="https://www.boliga.dk/maegler/17200" xr:uid="{00000000-0004-0000-0A00-0000BF000000}"/>
    <hyperlink ref="Q162" r:id="rId193" display="https://www.boliga.dk/maegler/29105" xr:uid="{00000000-0004-0000-0A00-0000C0000000}"/>
    <hyperlink ref="Q163" r:id="rId194" display="https://www.boliga.dk/maegler/26239" xr:uid="{00000000-0004-0000-0A00-0000C1000000}"/>
    <hyperlink ref="Q164" r:id="rId195" display="https://www.boliga.dk/maegler/28931" xr:uid="{00000000-0004-0000-0A00-0000C2000000}"/>
    <hyperlink ref="Q165" r:id="rId196" display="https://www.boliga.dk/maegler/696" xr:uid="{00000000-0004-0000-0A00-0000C3000000}"/>
    <hyperlink ref="Q166" r:id="rId197" display="https://www.boliga.dk/maegler/25410" xr:uid="{00000000-0004-0000-0A00-0000C4000000}"/>
    <hyperlink ref="Q167" r:id="rId198" display="https://www.boliga.dk/maegler/25273" xr:uid="{00000000-0004-0000-0A00-0000C5000000}"/>
    <hyperlink ref="Z167" r:id="rId199" display="mailto:evm@evaldmoeller.dk" xr:uid="{00000000-0004-0000-0A00-0000C6000000}"/>
    <hyperlink ref="Q168" r:id="rId200" display="https://www.boliga.dk/maegler/29036" xr:uid="{00000000-0004-0000-0A00-0000C7000000}"/>
    <hyperlink ref="Q169" r:id="rId201" display="https://www.boliga.dk/maegler/29018" xr:uid="{00000000-0004-0000-0A00-0000C8000000}"/>
    <hyperlink ref="Q170" r:id="rId202" display="https://www.boliga.dk/maegler/28698" xr:uid="{00000000-0004-0000-0A00-0000C9000000}"/>
    <hyperlink ref="Q171" r:id="rId203" display="https://www.boliga.dk/maegler/29024" xr:uid="{00000000-0004-0000-0A00-0000CA000000}"/>
    <hyperlink ref="Q172" r:id="rId204" display="https://www.boliga.dk/maegler/25278" xr:uid="{00000000-0004-0000-0A00-0000CB000000}"/>
    <hyperlink ref="Q173" r:id="rId205" display="https://www.boliga.dk/maegler/27960" xr:uid="{00000000-0004-0000-0A00-0000CC000000}"/>
    <hyperlink ref="Q174" r:id="rId206" display="https://www.boliga.dk/maegler/26553" xr:uid="{00000000-0004-0000-0A00-0000CD000000}"/>
    <hyperlink ref="Q175" r:id="rId207" display="https://www.boliga.dk/maegler/25244" xr:uid="{00000000-0004-0000-0A00-0000CE000000}"/>
    <hyperlink ref="Q176" r:id="rId208" display="https://www.boliga.dk/maegler/25811" xr:uid="{00000000-0004-0000-0A00-0000CF000000}"/>
    <hyperlink ref="Q177" r:id="rId209" display="https://www.boliga.dk/maegler/28070" xr:uid="{00000000-0004-0000-0A00-0000D0000000}"/>
    <hyperlink ref="Q178" r:id="rId210" display="https://www.boliga.dk/maegler/26698" xr:uid="{00000000-0004-0000-0A00-0000D1000000}"/>
    <hyperlink ref="G179" r:id="rId211" display="mailto:bjoerk@thobo.dk" xr:uid="{00000000-0004-0000-0A00-0000D2000000}"/>
    <hyperlink ref="Q179" r:id="rId212" display="https://www.boliga.dk/maegler/23853" xr:uid="{00000000-0004-0000-0A00-0000D3000000}"/>
    <hyperlink ref="Q180" r:id="rId213" display="https://www.boliga.dk/maegler/24211" xr:uid="{00000000-0004-0000-0A00-0000D4000000}"/>
    <hyperlink ref="Q181" r:id="rId214" display="https://www.boliga.dk/maegler/29088" xr:uid="{00000000-0004-0000-0A00-0000D5000000}"/>
    <hyperlink ref="Q182" r:id="rId215" display="https://www.boliga.dk/maegler/29121" xr:uid="{00000000-0004-0000-0A00-0000D6000000}"/>
    <hyperlink ref="G184" r:id="rId216" display="http://dan@dkboligteam.dk/" xr:uid="{00000000-0004-0000-0A00-0000D7000000}"/>
    <hyperlink ref="H184" r:id="rId217" display="http://1.81.212.166/" xr:uid="{00000000-0004-0000-0A00-0000D8000000}"/>
    <hyperlink ref="P184" r:id="rId218" display="mailto:info@dkboligteam.dk" xr:uid="{00000000-0004-0000-0A00-0000D9000000}"/>
    <hyperlink ref="Q184" r:id="rId219" display="https://www.boliga.dk/maegler/29131" xr:uid="{00000000-0004-0000-0A00-0000DA000000}"/>
    <hyperlink ref="P185" r:id="rId220" display="mailto:bolighandel@dslaw.dk" xr:uid="{00000000-0004-0000-0A00-0000DB000000}"/>
    <hyperlink ref="Q185" r:id="rId221" display="https://www.boliga.dk/maegler/29132" xr:uid="{00000000-0004-0000-0A00-0000DC000000}"/>
    <hyperlink ref="Q186" r:id="rId222" display="https://www.boliga.dk/maegler/29129" xr:uid="{00000000-0004-0000-0A00-0000DD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D86"/>
  <sheetViews>
    <sheetView workbookViewId="0">
      <selection sqref="A1:XFD1"/>
    </sheetView>
  </sheetViews>
  <sheetFormatPr defaultColWidth="12.6328125" defaultRowHeight="15.75" customHeight="1" x14ac:dyDescent="0.25"/>
  <cols>
    <col min="7" max="7" width="22.6328125" customWidth="1"/>
    <col min="18" max="18" width="24.7265625" customWidth="1"/>
  </cols>
  <sheetData>
    <row r="1" spans="1:30" ht="15.75" customHeight="1" x14ac:dyDescent="0.35">
      <c r="A1" s="1" t="s">
        <v>0</v>
      </c>
      <c r="B1" s="2" t="s">
        <v>1</v>
      </c>
      <c r="C1" s="10" t="s">
        <v>2</v>
      </c>
      <c r="D1" s="9" t="s">
        <v>3</v>
      </c>
      <c r="E1" s="10" t="s">
        <v>4</v>
      </c>
      <c r="F1" s="2" t="s">
        <v>5</v>
      </c>
      <c r="G1" s="11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7" t="s">
        <v>28</v>
      </c>
      <c r="AD1" s="8"/>
    </row>
    <row r="2" spans="1:30" ht="15.75" customHeight="1" x14ac:dyDescent="0.25">
      <c r="A2" s="14" t="str">
        <f ca="1">IFERROR(__xludf.DUMMYFUNCTION("FILTER(HOME!A3:AC167,HOME!Y3:Y167=""Ja"")"),"Camilla")</f>
        <v>Camilla</v>
      </c>
      <c r="B2" s="14" t="str">
        <f ca="1">IFERROR(__xludf.DUMMYFUNCTION("""COMPUTED_VALUE"""),"home Amager - Kastrupvej")</f>
        <v>home Amager - Kastrupvej</v>
      </c>
      <c r="C2" s="15">
        <f ca="1">IFERROR(__xludf.DUMMYFUNCTION("""COMPUTED_VALUE"""),39195461)</f>
        <v>39195461</v>
      </c>
      <c r="D2" s="14" t="str">
        <f ca="1">IFERROR(__xludf.DUMMYFUNCTION("""COMPUTED_VALUE"""),"MG-SJ: 3.499,-")</f>
        <v>MG-SJ: 3.499,-</v>
      </c>
      <c r="E2" s="14">
        <f ca="1">IFERROR(__xludf.DUMMYFUNCTION("""COMPUTED_VALUE"""),1202)</f>
        <v>1202</v>
      </c>
      <c r="F2" s="14" t="str">
        <f ca="1">IFERROR(__xludf.DUMMYFUNCTION("""COMPUTED_VALUE"""),"Torben Hansen")</f>
        <v>Torben Hansen</v>
      </c>
      <c r="G2" s="14" t="str">
        <f ca="1">IFERROR(__xludf.DUMMYFUNCTION("""COMPUTED_VALUE"""),"tohan@home.dk")</f>
        <v>tohan@home.dk</v>
      </c>
      <c r="H2" s="14">
        <f ca="1">IFERROR(__xludf.DUMMYFUNCTION("""COMPUTED_VALUE"""),41210066)</f>
        <v>41210066</v>
      </c>
      <c r="I2" s="14" t="str">
        <f ca="1">IFERROR(__xludf.DUMMYFUNCTION("""COMPUTED_VALUE"""),"Kastrupvej 89")</f>
        <v>Kastrupvej 89</v>
      </c>
      <c r="J2" s="14">
        <f ca="1">IFERROR(__xludf.DUMMYFUNCTION("""COMPUTED_VALUE"""),2300)</f>
        <v>2300</v>
      </c>
      <c r="K2" s="14" t="str">
        <f ca="1">IFERROR(__xludf.DUMMYFUNCTION("""COMPUTED_VALUE"""),"København S")</f>
        <v>København S</v>
      </c>
      <c r="L2" s="14" t="str">
        <f ca="1">IFERROR(__xludf.DUMMYFUNCTION("""COMPUTED_VALUE"""),"København")</f>
        <v>København</v>
      </c>
      <c r="M2" s="14" t="str">
        <f ca="1">IFERROR(__xludf.DUMMYFUNCTION("""COMPUTED_VALUE"""),"København By")</f>
        <v>København By</v>
      </c>
      <c r="N2" s="14" t="str">
        <f ca="1">IFERROR(__xludf.DUMMYFUNCTION("""COMPUTED_VALUE"""),"Hovedstaden")</f>
        <v>Hovedstaden</v>
      </c>
      <c r="O2" s="14">
        <f ca="1">IFERROR(__xludf.DUMMYFUNCTION("""COMPUTED_VALUE"""),32971400)</f>
        <v>32971400</v>
      </c>
      <c r="P2" s="14" t="str">
        <f ca="1">IFERROR(__xludf.DUMMYFUNCTION("""COMPUTED_VALUE"""),"145@home.dk")</f>
        <v>145@home.dk</v>
      </c>
      <c r="Q2" s="15" t="str">
        <f ca="1">IFERROR(__xludf.DUMMYFUNCTION("""COMPUTED_VALUE"""),"https://www.boliga.dk/maegler/424")</f>
        <v>https://www.boliga.dk/maegler/424</v>
      </c>
      <c r="R2" s="14" t="str">
        <f ca="1">IFERROR(__xludf.DUMMYFUNCTION("""COMPUTED_VALUE"""),"-")</f>
        <v>-</v>
      </c>
      <c r="S2" s="14" t="str">
        <f ca="1">IFERROR(__xludf.DUMMYFUNCTION("""COMPUTED_VALUE"""),"-")</f>
        <v>-</v>
      </c>
      <c r="T2" s="14" t="str">
        <f ca="1">IFERROR(__xludf.DUMMYFUNCTION("""COMPUTED_VALUE"""),"-")</f>
        <v>-</v>
      </c>
      <c r="U2" s="14">
        <f ca="1">IFERROR(__xludf.DUMMYFUNCTION("""COMPUTED_VALUE"""),36)</f>
        <v>36</v>
      </c>
      <c r="V2" s="14" t="str">
        <f ca="1">IFERROR(__xludf.DUMMYFUNCTION("""COMPUTED_VALUE"""),"2770, 2100, 2300")</f>
        <v>2770, 2100, 2300</v>
      </c>
      <c r="W2" s="14">
        <f ca="1">IFERROR(__xludf.DUMMYFUNCTION("""COMPUTED_VALUE"""),52)</f>
        <v>52</v>
      </c>
      <c r="X2" s="14" t="str">
        <f ca="1">IFERROR(__xludf.DUMMYFUNCTION("""COMPUTED_VALUE"""),"2720, 2770, 2300")</f>
        <v>2720, 2770, 2300</v>
      </c>
      <c r="Y2" s="14" t="str">
        <f ca="1">IFERROR(__xludf.DUMMYFUNCTION("""COMPUTED_VALUE"""),"ja")</f>
        <v>ja</v>
      </c>
      <c r="Z2" s="14"/>
      <c r="AA2" s="14"/>
      <c r="AB2" s="14" t="str">
        <f ca="1">IFERROR(__xludf.DUMMYFUNCTION("""COMPUTED_VALUE"""),"x")</f>
        <v>x</v>
      </c>
      <c r="AC2" s="14" t="str">
        <f ca="1">IFERROR(__xludf.DUMMYFUNCTION("""COMPUTED_VALUE"""),"x")</f>
        <v>x</v>
      </c>
    </row>
    <row r="3" spans="1:30" ht="15.75" customHeight="1" x14ac:dyDescent="0.25">
      <c r="A3" s="14" t="str">
        <f ca="1">IFERROR(__xludf.DUMMYFUNCTION("""COMPUTED_VALUE"""),"Camilla")</f>
        <v>Camilla</v>
      </c>
      <c r="B3" s="14" t="str">
        <f ca="1">IFERROR(__xludf.DUMMYFUNCTION("""COMPUTED_VALUE"""),"home Amager - Sundby")</f>
        <v>home Amager - Sundby</v>
      </c>
      <c r="C3" s="15">
        <f ca="1">IFERROR(__xludf.DUMMYFUNCTION("""COMPUTED_VALUE"""),42642134)</f>
        <v>42642134</v>
      </c>
      <c r="D3" s="14" t="str">
        <f ca="1">IFERROR(__xludf.DUMMYFUNCTION("""COMPUTED_VALUE"""),"MG-SJ: 3.499,-")</f>
        <v>MG-SJ: 3.499,-</v>
      </c>
      <c r="E3" s="14">
        <f ca="1">IFERROR(__xludf.DUMMYFUNCTION("""COMPUTED_VALUE"""),1202)</f>
        <v>1202</v>
      </c>
      <c r="F3" s="14" t="str">
        <f ca="1">IFERROR(__xludf.DUMMYFUNCTION("""COMPUTED_VALUE"""),"Simon Raagaard")</f>
        <v>Simon Raagaard</v>
      </c>
      <c r="G3" s="15" t="str">
        <f ca="1">IFERROR(__xludf.DUMMYFUNCTION("""COMPUTED_VALUE"""),"siraa@home.dk")</f>
        <v>siraa@home.dk</v>
      </c>
      <c r="H3" s="14">
        <f ca="1">IFERROR(__xludf.DUMMYFUNCTION("""COMPUTED_VALUE"""),41210070)</f>
        <v>41210070</v>
      </c>
      <c r="I3" s="14" t="str">
        <f ca="1">IFERROR(__xludf.DUMMYFUNCTION("""COMPUTED_VALUE"""),"Amagerbrogade 154")</f>
        <v>Amagerbrogade 154</v>
      </c>
      <c r="J3" s="14">
        <f ca="1">IFERROR(__xludf.DUMMYFUNCTION("""COMPUTED_VALUE"""),2300)</f>
        <v>2300</v>
      </c>
      <c r="K3" s="14" t="str">
        <f ca="1">IFERROR(__xludf.DUMMYFUNCTION("""COMPUTED_VALUE"""),"København S")</f>
        <v>København S</v>
      </c>
      <c r="L3" s="14" t="str">
        <f ca="1">IFERROR(__xludf.DUMMYFUNCTION("""COMPUTED_VALUE"""),"København")</f>
        <v>København</v>
      </c>
      <c r="M3" s="14" t="str">
        <f ca="1">IFERROR(__xludf.DUMMYFUNCTION("""COMPUTED_VALUE"""),"København By")</f>
        <v>København By</v>
      </c>
      <c r="N3" s="14" t="str">
        <f ca="1">IFERROR(__xludf.DUMMYFUNCTION("""COMPUTED_VALUE"""),"Hovedstaden")</f>
        <v>Hovedstaden</v>
      </c>
      <c r="O3" s="14">
        <f ca="1">IFERROR(__xludf.DUMMYFUNCTION("""COMPUTED_VALUE"""),32840444)</f>
        <v>32840444</v>
      </c>
      <c r="P3" s="14" t="str">
        <f ca="1">IFERROR(__xludf.DUMMYFUNCTION("""COMPUTED_VALUE"""),"120@home.dk")</f>
        <v>120@home.dk</v>
      </c>
      <c r="Q3" s="15" t="str">
        <f ca="1">IFERROR(__xludf.DUMMYFUNCTION("""COMPUTED_VALUE"""),"https://www.boliga.dk/maegler/415")</f>
        <v>https://www.boliga.dk/maegler/415</v>
      </c>
      <c r="R3" s="14" t="str">
        <f ca="1">IFERROR(__xludf.DUMMYFUNCTION("""COMPUTED_VALUE"""),"-")</f>
        <v>-</v>
      </c>
      <c r="S3" s="14" t="str">
        <f ca="1">IFERROR(__xludf.DUMMYFUNCTION("""COMPUTED_VALUE"""),"-")</f>
        <v>-</v>
      </c>
      <c r="T3" s="14" t="str">
        <f ca="1">IFERROR(__xludf.DUMMYFUNCTION("""COMPUTED_VALUE"""),"-")</f>
        <v>-</v>
      </c>
      <c r="U3" s="14">
        <f ca="1">IFERROR(__xludf.DUMMYFUNCTION("""COMPUTED_VALUE"""),12)</f>
        <v>12</v>
      </c>
      <c r="V3" s="14" t="str">
        <f ca="1">IFERROR(__xludf.DUMMYFUNCTION("""COMPUTED_VALUE"""),"1408, 2300")</f>
        <v>1408, 2300</v>
      </c>
      <c r="W3" s="14">
        <f ca="1">IFERROR(__xludf.DUMMYFUNCTION("""COMPUTED_VALUE"""),17)</f>
        <v>17</v>
      </c>
      <c r="X3" s="14" t="str">
        <f ca="1">IFERROR(__xludf.DUMMYFUNCTION("""COMPUTED_VALUE"""),"2770, 2300")</f>
        <v>2770, 2300</v>
      </c>
      <c r="Y3" s="14" t="str">
        <f ca="1">IFERROR(__xludf.DUMMYFUNCTION("""COMPUTED_VALUE"""),"ja")</f>
        <v>ja</v>
      </c>
      <c r="Z3" s="14"/>
      <c r="AA3" s="14"/>
      <c r="AB3" s="14" t="str">
        <f ca="1">IFERROR(__xludf.DUMMYFUNCTION("""COMPUTED_VALUE"""),"x")</f>
        <v>x</v>
      </c>
      <c r="AC3" s="14" t="str">
        <f ca="1">IFERROR(__xludf.DUMMYFUNCTION("""COMPUTED_VALUE"""),"x")</f>
        <v>x</v>
      </c>
    </row>
    <row r="4" spans="1:30" ht="15.75" customHeight="1" x14ac:dyDescent="0.25">
      <c r="A4" s="14" t="str">
        <f ca="1">IFERROR(__xludf.DUMMYFUNCTION("""COMPUTED_VALUE"""),"Camilla")</f>
        <v>Camilla</v>
      </c>
      <c r="B4" s="14" t="str">
        <f ca="1">IFERROR(__xludf.DUMMYFUNCTION("""COMPUTED_VALUE"""),"home Amagerbro")</f>
        <v>home Amagerbro</v>
      </c>
      <c r="C4" s="15">
        <f ca="1">IFERROR(__xludf.DUMMYFUNCTION("""COMPUTED_VALUE"""),40632255)</f>
        <v>40632255</v>
      </c>
      <c r="D4" s="14" t="str">
        <f ca="1">IFERROR(__xludf.DUMMYFUNCTION("""COMPUTED_VALUE"""),"MG-SJ: 3.499,-")</f>
        <v>MG-SJ: 3.499,-</v>
      </c>
      <c r="E4" s="14">
        <f ca="1">IFERROR(__xludf.DUMMYFUNCTION("""COMPUTED_VALUE"""),1202)</f>
        <v>1202</v>
      </c>
      <c r="F4" s="14" t="str">
        <f ca="1">IFERROR(__xludf.DUMMYFUNCTION("""COMPUTED_VALUE"""),"Sebastian Cederholm")</f>
        <v>Sebastian Cederholm</v>
      </c>
      <c r="G4" s="14" t="str">
        <f ca="1">IFERROR(__xludf.DUMMYFUNCTION("""COMPUTED_VALUE"""),"seced@home.dk")</f>
        <v>seced@home.dk</v>
      </c>
      <c r="H4" s="14">
        <f ca="1">IFERROR(__xludf.DUMMYFUNCTION("""COMPUTED_VALUE"""),41210032)</f>
        <v>41210032</v>
      </c>
      <c r="I4" s="14" t="str">
        <f ca="1">IFERROR(__xludf.DUMMYFUNCTION("""COMPUTED_VALUE"""),"Amager Boulevard 132")</f>
        <v>Amager Boulevard 132</v>
      </c>
      <c r="J4" s="14">
        <f ca="1">IFERROR(__xludf.DUMMYFUNCTION("""COMPUTED_VALUE"""),2300)</f>
        <v>2300</v>
      </c>
      <c r="K4" s="14" t="str">
        <f ca="1">IFERROR(__xludf.DUMMYFUNCTION("""COMPUTED_VALUE"""),"København S")</f>
        <v>København S</v>
      </c>
      <c r="L4" s="14" t="str">
        <f ca="1">IFERROR(__xludf.DUMMYFUNCTION("""COMPUTED_VALUE"""),"København")</f>
        <v>København</v>
      </c>
      <c r="M4" s="14" t="str">
        <f ca="1">IFERROR(__xludf.DUMMYFUNCTION("""COMPUTED_VALUE"""),"København By")</f>
        <v>København By</v>
      </c>
      <c r="N4" s="14" t="str">
        <f ca="1">IFERROR(__xludf.DUMMYFUNCTION("""COMPUTED_VALUE"""),"Hovedstaden")</f>
        <v>Hovedstaden</v>
      </c>
      <c r="O4" s="14">
        <f ca="1">IFERROR(__xludf.DUMMYFUNCTION("""COMPUTED_VALUE"""),32643100)</f>
        <v>32643100</v>
      </c>
      <c r="P4" s="14" t="str">
        <f ca="1">IFERROR(__xludf.DUMMYFUNCTION("""COMPUTED_VALUE"""),"117@home.dk")</f>
        <v>117@home.dk</v>
      </c>
      <c r="Q4" s="15" t="str">
        <f ca="1">IFERROR(__xludf.DUMMYFUNCTION("""COMPUTED_VALUE"""),"https://www.boliga.dk/maegler/918")</f>
        <v>https://www.boliga.dk/maegler/918</v>
      </c>
      <c r="R4" s="14" t="str">
        <f ca="1">IFERROR(__xludf.DUMMYFUNCTION("""COMPUTED_VALUE"""),"-")</f>
        <v>-</v>
      </c>
      <c r="S4" s="14" t="str">
        <f ca="1">IFERROR(__xludf.DUMMYFUNCTION("""COMPUTED_VALUE"""),"-")</f>
        <v>-</v>
      </c>
      <c r="T4" s="14" t="str">
        <f ca="1">IFERROR(__xludf.DUMMYFUNCTION("""COMPUTED_VALUE"""),"-")</f>
        <v>-</v>
      </c>
      <c r="U4" s="14">
        <f ca="1">IFERROR(__xludf.DUMMYFUNCTION("""COMPUTED_VALUE"""),17)</f>
        <v>17</v>
      </c>
      <c r="V4" s="14">
        <f ca="1">IFERROR(__xludf.DUMMYFUNCTION("""COMPUTED_VALUE"""),2300)</f>
        <v>2300</v>
      </c>
      <c r="W4" s="14">
        <f ca="1">IFERROR(__xludf.DUMMYFUNCTION("""COMPUTED_VALUE"""),28)</f>
        <v>28</v>
      </c>
      <c r="X4" s="14" t="str">
        <f ca="1">IFERROR(__xludf.DUMMYFUNCTION("""COMPUTED_VALUE"""),"2791, 2300, 1850")</f>
        <v>2791, 2300, 1850</v>
      </c>
      <c r="Y4" s="14" t="str">
        <f ca="1">IFERROR(__xludf.DUMMYFUNCTION("""COMPUTED_VALUE"""),"ja")</f>
        <v>ja</v>
      </c>
      <c r="Z4" s="14"/>
      <c r="AA4" s="14"/>
      <c r="AB4" s="14" t="str">
        <f ca="1">IFERROR(__xludf.DUMMYFUNCTION("""COMPUTED_VALUE"""),"x")</f>
        <v>x</v>
      </c>
      <c r="AC4" s="14" t="str">
        <f ca="1">IFERROR(__xludf.DUMMYFUNCTION("""COMPUTED_VALUE"""),"x")</f>
        <v>x</v>
      </c>
    </row>
    <row r="5" spans="1:30" ht="15.75" customHeight="1" x14ac:dyDescent="0.25">
      <c r="A5" s="14" t="str">
        <f ca="1">IFERROR(__xludf.DUMMYFUNCTION("""COMPUTED_VALUE"""),"Camilla")</f>
        <v>Camilla</v>
      </c>
      <c r="B5" s="14" t="str">
        <f ca="1">IFERROR(__xludf.DUMMYFUNCTION("""COMPUTED_VALUE"""),"home Brønshøj")</f>
        <v>home Brønshøj</v>
      </c>
      <c r="C5" s="14">
        <f ca="1">IFERROR(__xludf.DUMMYFUNCTION("""COMPUTED_VALUE"""),37041319)</f>
        <v>37041319</v>
      </c>
      <c r="D5" s="14" t="str">
        <f ca="1">IFERROR(__xludf.DUMMYFUNCTION("""COMPUTED_VALUE"""),"MG-SJ: 3.499,-")</f>
        <v>MG-SJ: 3.499,-</v>
      </c>
      <c r="E5" s="14">
        <f ca="1">IFERROR(__xludf.DUMMYFUNCTION("""COMPUTED_VALUE"""),1202)</f>
        <v>1202</v>
      </c>
      <c r="F5" s="14" t="str">
        <f ca="1">IFERROR(__xludf.DUMMYFUNCTION("""COMPUTED_VALUE"""),"Martin Porsmose")</f>
        <v>Martin Porsmose</v>
      </c>
      <c r="G5" s="14" t="str">
        <f ca="1">IFERROR(__xludf.DUMMYFUNCTION("""COMPUTED_VALUE"""),"pors@home.dk")</f>
        <v>pors@home.dk</v>
      </c>
      <c r="H5" s="14">
        <f ca="1">IFERROR(__xludf.DUMMYFUNCTION("""COMPUTED_VALUE"""),81407081)</f>
        <v>81407081</v>
      </c>
      <c r="I5" s="14" t="str">
        <f ca="1">IFERROR(__xludf.DUMMYFUNCTION("""COMPUTED_VALUE"""),"Frederikssundsvej 145")</f>
        <v>Frederikssundsvej 145</v>
      </c>
      <c r="J5" s="14">
        <f ca="1">IFERROR(__xludf.DUMMYFUNCTION("""COMPUTED_VALUE"""),2700)</f>
        <v>2700</v>
      </c>
      <c r="K5" s="14" t="str">
        <f ca="1">IFERROR(__xludf.DUMMYFUNCTION("""COMPUTED_VALUE"""),"Brønshøj")</f>
        <v>Brønshøj</v>
      </c>
      <c r="L5" s="14" t="str">
        <f ca="1">IFERROR(__xludf.DUMMYFUNCTION("""COMPUTED_VALUE"""),"København")</f>
        <v>København</v>
      </c>
      <c r="M5" s="14" t="str">
        <f ca="1">IFERROR(__xludf.DUMMYFUNCTION("""COMPUTED_VALUE"""),"København By")</f>
        <v>København By</v>
      </c>
      <c r="N5" s="14" t="str">
        <f ca="1">IFERROR(__xludf.DUMMYFUNCTION("""COMPUTED_VALUE"""),"Hovedstaden")</f>
        <v>Hovedstaden</v>
      </c>
      <c r="O5" s="14">
        <f ca="1">IFERROR(__xludf.DUMMYFUNCTION("""COMPUTED_VALUE"""),38281818)</f>
        <v>38281818</v>
      </c>
      <c r="P5" s="14" t="str">
        <f ca="1">IFERROR(__xludf.DUMMYFUNCTION("""COMPUTED_VALUE"""),"102@home.dk")</f>
        <v>102@home.dk</v>
      </c>
      <c r="Q5" s="15" t="str">
        <f ca="1">IFERROR(__xludf.DUMMYFUNCTION("""COMPUTED_VALUE"""),"https://www.boliga.dk/maegler/218")</f>
        <v>https://www.boliga.dk/maegler/218</v>
      </c>
      <c r="R5" s="14" t="str">
        <f ca="1">IFERROR(__xludf.DUMMYFUNCTION("""COMPUTED_VALUE"""),"-")</f>
        <v>-</v>
      </c>
      <c r="S5" s="14" t="str">
        <f ca="1">IFERROR(__xludf.DUMMYFUNCTION("""COMPUTED_VALUE"""),"-")</f>
        <v>-</v>
      </c>
      <c r="T5" s="14" t="str">
        <f ca="1">IFERROR(__xludf.DUMMYFUNCTION("""COMPUTED_VALUE"""),"-")</f>
        <v>-</v>
      </c>
      <c r="U5" s="14">
        <f ca="1">IFERROR(__xludf.DUMMYFUNCTION("""COMPUTED_VALUE"""),23)</f>
        <v>23</v>
      </c>
      <c r="V5" s="14" t="str">
        <f ca="1">IFERROR(__xludf.DUMMYFUNCTION("""COMPUTED_VALUE"""),"2400, 2730, 2700")</f>
        <v>2400, 2730, 2700</v>
      </c>
      <c r="W5" s="14">
        <f ca="1">IFERROR(__xludf.DUMMYFUNCTION("""COMPUTED_VALUE"""),15)</f>
        <v>15</v>
      </c>
      <c r="X5" s="14" t="str">
        <f ca="1">IFERROR(__xludf.DUMMYFUNCTION("""COMPUTED_VALUE"""),"2700, 3400, 1799, 1971")</f>
        <v>2700, 3400, 1799, 1971</v>
      </c>
      <c r="Y5" s="14" t="str">
        <f ca="1">IFERROR(__xludf.DUMMYFUNCTION("""COMPUTED_VALUE"""),"ja")</f>
        <v>ja</v>
      </c>
      <c r="Z5" s="14"/>
      <c r="AA5" s="14"/>
      <c r="AB5" s="14" t="str">
        <f ca="1">IFERROR(__xludf.DUMMYFUNCTION("""COMPUTED_VALUE"""),"x")</f>
        <v>x</v>
      </c>
      <c r="AC5" s="14" t="str">
        <f ca="1">IFERROR(__xludf.DUMMYFUNCTION("""COMPUTED_VALUE"""),"x")</f>
        <v>x</v>
      </c>
    </row>
    <row r="6" spans="1:30" ht="15.75" customHeight="1" x14ac:dyDescent="0.25">
      <c r="A6" s="14" t="str">
        <f ca="1">IFERROR(__xludf.DUMMYFUNCTION("""COMPUTED_VALUE"""),"Camilla")</f>
        <v>Camilla</v>
      </c>
      <c r="B6" s="14" t="str">
        <f ca="1">IFERROR(__xludf.DUMMYFUNCTION("""COMPUTED_VALUE"""),"home City")</f>
        <v>home City</v>
      </c>
      <c r="C6" s="14">
        <f ca="1">IFERROR(__xludf.DUMMYFUNCTION("""COMPUTED_VALUE"""),20763892)</f>
        <v>20763892</v>
      </c>
      <c r="D6" s="14" t="str">
        <f ca="1">IFERROR(__xludf.DUMMYFUNCTION("""COMPUTED_VALUE"""),"MG-SJ: 3.499,-")</f>
        <v>MG-SJ: 3.499,-</v>
      </c>
      <c r="E6" s="14">
        <f ca="1">IFERROR(__xludf.DUMMYFUNCTION("""COMPUTED_VALUE"""),1202)</f>
        <v>1202</v>
      </c>
      <c r="F6" s="14" t="str">
        <f ca="1">IFERROR(__xludf.DUMMYFUNCTION("""COMPUTED_VALUE"""),"Anders Holm")</f>
        <v>Anders Holm</v>
      </c>
      <c r="G6" s="14" t="str">
        <f ca="1">IFERROR(__xludf.DUMMYFUNCTION("""COMPUTED_VALUE"""),"aholm@home.dk")</f>
        <v>aholm@home.dk</v>
      </c>
      <c r="H6" s="14">
        <f ca="1">IFERROR(__xludf.DUMMYFUNCTION("""COMPUTED_VALUE"""),42110222)</f>
        <v>42110222</v>
      </c>
      <c r="I6" s="14" t="str">
        <f ca="1">IFERROR(__xludf.DUMMYFUNCTION("""COMPUTED_VALUE"""),"Højbro Plads 13")</f>
        <v>Højbro Plads 13</v>
      </c>
      <c r="J6" s="14">
        <f ca="1">IFERROR(__xludf.DUMMYFUNCTION("""COMPUTED_VALUE"""),1200)</f>
        <v>1200</v>
      </c>
      <c r="K6" s="14" t="str">
        <f ca="1">IFERROR(__xludf.DUMMYFUNCTION("""COMPUTED_VALUE"""),"København K")</f>
        <v>København K</v>
      </c>
      <c r="L6" s="14" t="str">
        <f ca="1">IFERROR(__xludf.DUMMYFUNCTION("""COMPUTED_VALUE"""),"København")</f>
        <v>København</v>
      </c>
      <c r="M6" s="14" t="str">
        <f ca="1">IFERROR(__xludf.DUMMYFUNCTION("""COMPUTED_VALUE"""),"København By")</f>
        <v>København By</v>
      </c>
      <c r="N6" s="14" t="str">
        <f ca="1">IFERROR(__xludf.DUMMYFUNCTION("""COMPUTED_VALUE"""),"Hovedstaden")</f>
        <v>Hovedstaden</v>
      </c>
      <c r="O6" s="14">
        <f ca="1">IFERROR(__xludf.DUMMYFUNCTION("""COMPUTED_VALUE"""),33912291)</f>
        <v>33912291</v>
      </c>
      <c r="P6" s="14" t="str">
        <f ca="1">IFERROR(__xludf.DUMMYFUNCTION("""COMPUTED_VALUE"""),"148@home.dk")</f>
        <v>148@home.dk</v>
      </c>
      <c r="Q6" s="15" t="str">
        <f ca="1">IFERROR(__xludf.DUMMYFUNCTION("""COMPUTED_VALUE"""),"https://www.boliga.dk/maegler/610")</f>
        <v>https://www.boliga.dk/maegler/610</v>
      </c>
      <c r="R6" s="14" t="str">
        <f ca="1">IFERROR(__xludf.DUMMYFUNCTION("""COMPUTED_VALUE"""),"-")</f>
        <v>-</v>
      </c>
      <c r="S6" s="14" t="str">
        <f ca="1">IFERROR(__xludf.DUMMYFUNCTION("""COMPUTED_VALUE"""),"-")</f>
        <v>-</v>
      </c>
      <c r="T6" s="14" t="str">
        <f ca="1">IFERROR(__xludf.DUMMYFUNCTION("""COMPUTED_VALUE"""),"-")</f>
        <v>-</v>
      </c>
      <c r="U6" s="14">
        <f ca="1">IFERROR(__xludf.DUMMYFUNCTION("""COMPUTED_VALUE"""),28)</f>
        <v>28</v>
      </c>
      <c r="V6" s="14" t="str">
        <f ca="1">IFERROR(__xludf.DUMMYFUNCTION("""COMPUTED_VALUE"""),"1171, 1359, 1112, 1129, 1253, 1453, 1117, 1455, 1436, 2900, 1173, 2300, 1432")</f>
        <v>1171, 1359, 1112, 1129, 1253, 1453, 1117, 1455, 1436, 2900, 1173, 2300, 1432</v>
      </c>
      <c r="W6" s="14">
        <f ca="1">IFERROR(__xludf.DUMMYFUNCTION("""COMPUTED_VALUE"""),6)</f>
        <v>6</v>
      </c>
      <c r="X6" s="14" t="str">
        <f ca="1">IFERROR(__xludf.DUMMYFUNCTION("""COMPUTED_VALUE"""),"1117, 1071, 1308, 1159, 1466, 1302")</f>
        <v>1117, 1071, 1308, 1159, 1466, 1302</v>
      </c>
      <c r="Y6" s="14" t="str">
        <f ca="1">IFERROR(__xludf.DUMMYFUNCTION("""COMPUTED_VALUE"""),"ja")</f>
        <v>ja</v>
      </c>
      <c r="Z6" s="14"/>
      <c r="AA6" s="14"/>
      <c r="AB6" s="14" t="str">
        <f ca="1">IFERROR(__xludf.DUMMYFUNCTION("""COMPUTED_VALUE"""),"x")</f>
        <v>x</v>
      </c>
      <c r="AC6" s="14" t="str">
        <f ca="1">IFERROR(__xludf.DUMMYFUNCTION("""COMPUTED_VALUE"""),"x")</f>
        <v>x</v>
      </c>
    </row>
    <row r="7" spans="1:30" ht="15.75" customHeight="1" x14ac:dyDescent="0.25">
      <c r="A7" s="14" t="str">
        <f ca="1">IFERROR(__xludf.DUMMYFUNCTION("""COMPUTED_VALUE"""),"Camilla")</f>
        <v>Camilla</v>
      </c>
      <c r="B7" s="14" t="str">
        <f ca="1">IFERROR(__xludf.DUMMYFUNCTION("""COMPUTED_VALUE"""),"home Frederiksberg")</f>
        <v>home Frederiksberg</v>
      </c>
      <c r="C7" s="14">
        <f ca="1">IFERROR(__xludf.DUMMYFUNCTION("""COMPUTED_VALUE"""),39081911)</f>
        <v>39081911</v>
      </c>
      <c r="D7" s="14" t="str">
        <f ca="1">IFERROR(__xludf.DUMMYFUNCTION("""COMPUTED_VALUE"""),"MG-SJ: 3.499,-")</f>
        <v>MG-SJ: 3.499,-</v>
      </c>
      <c r="E7" s="14">
        <f ca="1">IFERROR(__xludf.DUMMYFUNCTION("""COMPUTED_VALUE"""),1202)</f>
        <v>1202</v>
      </c>
      <c r="F7" s="14" t="str">
        <f ca="1">IFERROR(__xludf.DUMMYFUNCTION("""COMPUTED_VALUE"""),"Jakob Juhl Røn")</f>
        <v>Jakob Juhl Røn</v>
      </c>
      <c r="G7" s="14" t="str">
        <f ca="1">IFERROR(__xludf.DUMMYFUNCTION("""COMPUTED_VALUE"""),"jakobr@home.dk")</f>
        <v>jakobr@home.dk</v>
      </c>
      <c r="H7" s="14">
        <f ca="1">IFERROR(__xludf.DUMMYFUNCTION("""COMPUTED_VALUE"""),29709957)</f>
        <v>29709957</v>
      </c>
      <c r="I7" s="14" t="str">
        <f ca="1">IFERROR(__xludf.DUMMYFUNCTION("""COMPUTED_VALUE"""),"Allegade 28")</f>
        <v>Allegade 28</v>
      </c>
      <c r="J7" s="14">
        <f ca="1">IFERROR(__xludf.DUMMYFUNCTION("""COMPUTED_VALUE"""),2000)</f>
        <v>2000</v>
      </c>
      <c r="K7" s="14" t="str">
        <f ca="1">IFERROR(__xludf.DUMMYFUNCTION("""COMPUTED_VALUE"""),"Frederiksberg")</f>
        <v>Frederiksberg</v>
      </c>
      <c r="L7" s="14" t="str">
        <f ca="1">IFERROR(__xludf.DUMMYFUNCTION("""COMPUTED_VALUE"""),"Frederiksberg")</f>
        <v>Frederiksberg</v>
      </c>
      <c r="M7" s="14" t="str">
        <f ca="1">IFERROR(__xludf.DUMMYFUNCTION("""COMPUTED_VALUE"""),"København By")</f>
        <v>København By</v>
      </c>
      <c r="N7" s="14" t="str">
        <f ca="1">IFERROR(__xludf.DUMMYFUNCTION("""COMPUTED_VALUE"""),"Hovedstaden")</f>
        <v>Hovedstaden</v>
      </c>
      <c r="O7" s="14">
        <f ca="1">IFERROR(__xludf.DUMMYFUNCTION("""COMPUTED_VALUE"""),33231818)</f>
        <v>33231818</v>
      </c>
      <c r="P7" s="14" t="str">
        <f ca="1">IFERROR(__xludf.DUMMYFUNCTION("""COMPUTED_VALUE"""),"130@home.dk")</f>
        <v>130@home.dk</v>
      </c>
      <c r="Q7" s="15" t="str">
        <f ca="1">IFERROR(__xludf.DUMMYFUNCTION("""COMPUTED_VALUE"""),"https://www.boliga.dk/maegler/863")</f>
        <v>https://www.boliga.dk/maegler/863</v>
      </c>
      <c r="R7" s="14" t="str">
        <f ca="1">IFERROR(__xludf.DUMMYFUNCTION("""COMPUTED_VALUE"""),"-")</f>
        <v>-</v>
      </c>
      <c r="S7" s="14" t="str">
        <f ca="1">IFERROR(__xludf.DUMMYFUNCTION("""COMPUTED_VALUE"""),"-")</f>
        <v>-</v>
      </c>
      <c r="T7" s="14" t="str">
        <f ca="1">IFERROR(__xludf.DUMMYFUNCTION("""COMPUTED_VALUE"""),"-")</f>
        <v>-</v>
      </c>
      <c r="U7" s="14">
        <f ca="1">IFERROR(__xludf.DUMMYFUNCTION("""COMPUTED_VALUE"""),15)</f>
        <v>15</v>
      </c>
      <c r="V7" s="14" t="str">
        <f ca="1">IFERROR(__xludf.DUMMYFUNCTION("""COMPUTED_VALUE"""),"2300, 1801, 1829, 2000")</f>
        <v>2300, 1801, 1829, 2000</v>
      </c>
      <c r="W7" s="14">
        <f ca="1">IFERROR(__xludf.DUMMYFUNCTION("""COMPUTED_VALUE"""),35)</f>
        <v>35</v>
      </c>
      <c r="X7" s="14" t="str">
        <f ca="1">IFERROR(__xludf.DUMMYFUNCTION("""COMPUTED_VALUE"""),"1806, 1814, 1812, 1810, 1904, 1820, 2000, 1854, 1811, 1879")</f>
        <v>1806, 1814, 1812, 1810, 1904, 1820, 2000, 1854, 1811, 1879</v>
      </c>
      <c r="Y7" s="14" t="str">
        <f ca="1">IFERROR(__xludf.DUMMYFUNCTION("""COMPUTED_VALUE"""),"ja")</f>
        <v>ja</v>
      </c>
      <c r="Z7" s="14"/>
      <c r="AA7" s="14"/>
      <c r="AB7" s="14" t="str">
        <f ca="1">IFERROR(__xludf.DUMMYFUNCTION("""COMPUTED_VALUE"""),"x")</f>
        <v>x</v>
      </c>
      <c r="AC7" s="14" t="str">
        <f ca="1">IFERROR(__xludf.DUMMYFUNCTION("""COMPUTED_VALUE"""),"x")</f>
        <v>x</v>
      </c>
    </row>
    <row r="8" spans="1:30" ht="15.75" customHeight="1" x14ac:dyDescent="0.25">
      <c r="A8" s="14" t="str">
        <f ca="1">IFERROR(__xludf.DUMMYFUNCTION("""COMPUTED_VALUE"""),"Camilla")</f>
        <v>Camilla</v>
      </c>
      <c r="B8" s="14" t="str">
        <f ca="1">IFERROR(__xludf.DUMMYFUNCTION("""COMPUTED_VALUE"""),"home Frederiksberg - Falkoner Allé")</f>
        <v>home Frederiksberg - Falkoner Allé</v>
      </c>
      <c r="C8" s="14">
        <f ca="1">IFERROR(__xludf.DUMMYFUNCTION("""COMPUTED_VALUE"""),39081911)</f>
        <v>39081911</v>
      </c>
      <c r="D8" s="14" t="str">
        <f ca="1">IFERROR(__xludf.DUMMYFUNCTION("""COMPUTED_VALUE"""),"MG-SJ: 3.499,-")</f>
        <v>MG-SJ: 3.499,-</v>
      </c>
      <c r="E8" s="14">
        <f ca="1">IFERROR(__xludf.DUMMYFUNCTION("""COMPUTED_VALUE"""),1202)</f>
        <v>1202</v>
      </c>
      <c r="F8" s="14" t="str">
        <f ca="1">IFERROR(__xludf.DUMMYFUNCTION("""COMPUTED_VALUE"""),"Jakob Juhl Røn")</f>
        <v>Jakob Juhl Røn</v>
      </c>
      <c r="G8" s="14" t="str">
        <f ca="1">IFERROR(__xludf.DUMMYFUNCTION("""COMPUTED_VALUE"""),"jakobr@home.dk")</f>
        <v>jakobr@home.dk</v>
      </c>
      <c r="H8" s="14">
        <f ca="1">IFERROR(__xludf.DUMMYFUNCTION("""COMPUTED_VALUE"""),29719957)</f>
        <v>29719957</v>
      </c>
      <c r="I8" s="14" t="str">
        <f ca="1">IFERROR(__xludf.DUMMYFUNCTION("""COMPUTED_VALUE"""),"Allegade 28")</f>
        <v>Allegade 28</v>
      </c>
      <c r="J8" s="14">
        <f ca="1">IFERROR(__xludf.DUMMYFUNCTION("""COMPUTED_VALUE"""),2000)</f>
        <v>2000</v>
      </c>
      <c r="K8" s="14" t="str">
        <f ca="1">IFERROR(__xludf.DUMMYFUNCTION("""COMPUTED_VALUE"""),"Frederiksberg")</f>
        <v>Frederiksberg</v>
      </c>
      <c r="L8" s="14" t="str">
        <f ca="1">IFERROR(__xludf.DUMMYFUNCTION("""COMPUTED_VALUE"""),"Frederiksberg")</f>
        <v>Frederiksberg</v>
      </c>
      <c r="M8" s="14" t="str">
        <f ca="1">IFERROR(__xludf.DUMMYFUNCTION("""COMPUTED_VALUE"""),"København By")</f>
        <v>København By</v>
      </c>
      <c r="N8" s="14" t="str">
        <f ca="1">IFERROR(__xludf.DUMMYFUNCTION("""COMPUTED_VALUE"""),"Hovedstaden")</f>
        <v>Hovedstaden</v>
      </c>
      <c r="O8" s="14">
        <f ca="1">IFERROR(__xludf.DUMMYFUNCTION("""COMPUTED_VALUE"""),38146161)</f>
        <v>38146161</v>
      </c>
      <c r="P8" s="14" t="str">
        <f ca="1">IFERROR(__xludf.DUMMYFUNCTION("""COMPUTED_VALUE"""),"128@home.dk")</f>
        <v>128@home.dk</v>
      </c>
      <c r="Q8" s="15" t="str">
        <f ca="1">IFERROR(__xludf.DUMMYFUNCTION("""COMPUTED_VALUE"""),"https://www.boliga.dk/maegler/777")</f>
        <v>https://www.boliga.dk/maegler/777</v>
      </c>
      <c r="R8" s="14" t="str">
        <f ca="1">IFERROR(__xludf.DUMMYFUNCTION("""COMPUTED_VALUE"""),"-")</f>
        <v>-</v>
      </c>
      <c r="S8" s="14" t="str">
        <f ca="1">IFERROR(__xludf.DUMMYFUNCTION("""COMPUTED_VALUE"""),"-")</f>
        <v>-</v>
      </c>
      <c r="T8" s="14" t="str">
        <f ca="1">IFERROR(__xludf.DUMMYFUNCTION("""COMPUTED_VALUE"""),"-")</f>
        <v>-</v>
      </c>
      <c r="U8" s="14">
        <f ca="1">IFERROR(__xludf.DUMMYFUNCTION("""COMPUTED_VALUE"""),11)</f>
        <v>11</v>
      </c>
      <c r="V8" s="14" t="str">
        <f ca="1">IFERROR(__xludf.DUMMYFUNCTION("""COMPUTED_VALUE"""),"2000, 1810")</f>
        <v>2000, 1810</v>
      </c>
      <c r="W8" s="14">
        <f ca="1">IFERROR(__xludf.DUMMYFUNCTION("""COMPUTED_VALUE"""),21)</f>
        <v>21</v>
      </c>
      <c r="X8" s="14" t="str">
        <f ca="1">IFERROR(__xludf.DUMMYFUNCTION("""COMPUTED_VALUE"""),"2000, 1810, 1817, 1924")</f>
        <v>2000, 1810, 1817, 1924</v>
      </c>
      <c r="Y8" s="14" t="str">
        <f ca="1">IFERROR(__xludf.DUMMYFUNCTION("""COMPUTED_VALUE"""),"ja")</f>
        <v>ja</v>
      </c>
      <c r="Z8" s="14"/>
      <c r="AA8" s="14"/>
      <c r="AB8" s="14" t="str">
        <f ca="1">IFERROR(__xludf.DUMMYFUNCTION("""COMPUTED_VALUE"""),"x")</f>
        <v>x</v>
      </c>
      <c r="AC8" s="14" t="str">
        <f ca="1">IFERROR(__xludf.DUMMYFUNCTION("""COMPUTED_VALUE"""),"x")</f>
        <v>x</v>
      </c>
    </row>
    <row r="9" spans="1:30" ht="15.75" customHeight="1" x14ac:dyDescent="0.25">
      <c r="A9" s="14" t="str">
        <f ca="1">IFERROR(__xludf.DUMMYFUNCTION("""COMPUTED_VALUE"""),"Camilla")</f>
        <v>Camilla</v>
      </c>
      <c r="B9" s="14" t="str">
        <f ca="1">IFERROR(__xludf.DUMMYFUNCTION("""COMPUTED_VALUE"""),"home Frederiksberg C")</f>
        <v>home Frederiksberg C</v>
      </c>
      <c r="C9" s="14">
        <f ca="1">IFERROR(__xludf.DUMMYFUNCTION("""COMPUTED_VALUE"""),39081911)</f>
        <v>39081911</v>
      </c>
      <c r="D9" s="14" t="str">
        <f ca="1">IFERROR(__xludf.DUMMYFUNCTION("""COMPUTED_VALUE"""),"MG-SJ: 3.499,-")</f>
        <v>MG-SJ: 3.499,-</v>
      </c>
      <c r="E9" s="14">
        <f ca="1">IFERROR(__xludf.DUMMYFUNCTION("""COMPUTED_VALUE"""),1202)</f>
        <v>1202</v>
      </c>
      <c r="F9" s="14" t="str">
        <f ca="1">IFERROR(__xludf.DUMMYFUNCTION("""COMPUTED_VALUE"""),"Jakob Juhl Røn")</f>
        <v>Jakob Juhl Røn</v>
      </c>
      <c r="G9" s="14" t="str">
        <f ca="1">IFERROR(__xludf.DUMMYFUNCTION("""COMPUTED_VALUE"""),"jakobr@home.dk")</f>
        <v>jakobr@home.dk</v>
      </c>
      <c r="H9" s="14">
        <f ca="1">IFERROR(__xludf.DUMMYFUNCTION("""COMPUTED_VALUE"""),29729957)</f>
        <v>29729957</v>
      </c>
      <c r="I9" s="14" t="str">
        <f ca="1">IFERROR(__xludf.DUMMYFUNCTION("""COMPUTED_VALUE"""),"H.C. Ørsteds Vej 51")</f>
        <v>H.C. Ørsteds Vej 51</v>
      </c>
      <c r="J9" s="14">
        <f ca="1">IFERROR(__xludf.DUMMYFUNCTION("""COMPUTED_VALUE"""),1879)</f>
        <v>1879</v>
      </c>
      <c r="K9" s="14" t="str">
        <f ca="1">IFERROR(__xludf.DUMMYFUNCTION("""COMPUTED_VALUE"""),"Frederiksberg C")</f>
        <v>Frederiksberg C</v>
      </c>
      <c r="L9" s="14" t="str">
        <f ca="1">IFERROR(__xludf.DUMMYFUNCTION("""COMPUTED_VALUE"""),"Frederiksberg")</f>
        <v>Frederiksberg</v>
      </c>
      <c r="M9" s="14" t="str">
        <f ca="1">IFERROR(__xludf.DUMMYFUNCTION("""COMPUTED_VALUE"""),"København By")</f>
        <v>København By</v>
      </c>
      <c r="N9" s="14" t="str">
        <f ca="1">IFERROR(__xludf.DUMMYFUNCTION("""COMPUTED_VALUE"""),"Hovedstaden")</f>
        <v>Hovedstaden</v>
      </c>
      <c r="O9" s="14">
        <f ca="1">IFERROR(__xludf.DUMMYFUNCTION("""COMPUTED_VALUE"""),31161818)</f>
        <v>31161818</v>
      </c>
      <c r="P9" s="14" t="str">
        <f ca="1">IFERROR(__xludf.DUMMYFUNCTION("""COMPUTED_VALUE"""),"174@home.dk")</f>
        <v>174@home.dk</v>
      </c>
      <c r="Q9" s="15" t="str">
        <f ca="1">IFERROR(__xludf.DUMMYFUNCTION("""COMPUTED_VALUE"""),"https://www.boliga.dk/maegler/18032")</f>
        <v>https://www.boliga.dk/maegler/18032</v>
      </c>
      <c r="R9" s="14" t="str">
        <f ca="1">IFERROR(__xludf.DUMMYFUNCTION("""COMPUTED_VALUE"""),"-")</f>
        <v>-</v>
      </c>
      <c r="S9" s="14" t="str">
        <f ca="1">IFERROR(__xludf.DUMMYFUNCTION("""COMPUTED_VALUE"""),"-")</f>
        <v>-</v>
      </c>
      <c r="T9" s="14" t="str">
        <f ca="1">IFERROR(__xludf.DUMMYFUNCTION("""COMPUTED_VALUE"""),"-")</f>
        <v>-</v>
      </c>
      <c r="U9" s="14">
        <f ca="1">IFERROR(__xludf.DUMMYFUNCTION("""COMPUTED_VALUE"""),7)</f>
        <v>7</v>
      </c>
      <c r="V9" s="14" t="str">
        <f ca="1">IFERROR(__xludf.DUMMYFUNCTION("""COMPUTED_VALUE"""),"1912, 1804, 1923, 1879, 2000, 1820, 1903")</f>
        <v>1912, 1804, 1923, 1879, 2000, 1820, 1903</v>
      </c>
      <c r="W9" s="14">
        <f ca="1">IFERROR(__xludf.DUMMYFUNCTION("""COMPUTED_VALUE"""),23)</f>
        <v>23</v>
      </c>
      <c r="X9" s="14" t="str">
        <f ca="1">IFERROR(__xludf.DUMMYFUNCTION("""COMPUTED_VALUE"""),"1879, 1814, 1810, 1850, 1800, 1923, 1812, 2000, 1902, 1864")</f>
        <v>1879, 1814, 1810, 1850, 1800, 1923, 1812, 2000, 1902, 1864</v>
      </c>
      <c r="Y9" s="14" t="str">
        <f ca="1">IFERROR(__xludf.DUMMYFUNCTION("""COMPUTED_VALUE"""),"ja")</f>
        <v>ja</v>
      </c>
      <c r="Z9" s="14"/>
      <c r="AA9" s="14"/>
      <c r="AB9" s="14" t="str">
        <f ca="1">IFERROR(__xludf.DUMMYFUNCTION("""COMPUTED_VALUE"""),"x")</f>
        <v>x</v>
      </c>
      <c r="AC9" s="14" t="str">
        <f ca="1">IFERROR(__xludf.DUMMYFUNCTION("""COMPUTED_VALUE"""),"x")</f>
        <v>x</v>
      </c>
    </row>
    <row r="10" spans="1:30" ht="15.75" customHeight="1" x14ac:dyDescent="0.25">
      <c r="A10" s="14" t="str">
        <f ca="1">IFERROR(__xludf.DUMMYFUNCTION("""COMPUTED_VALUE"""),"Camilla")</f>
        <v>Camilla</v>
      </c>
      <c r="B10" s="14" t="str">
        <f ca="1">IFERROR(__xludf.DUMMYFUNCTION("""COMPUTED_VALUE"""),"home Nordhavn")</f>
        <v>home Nordhavn</v>
      </c>
      <c r="C10" s="14">
        <f ca="1">IFERROR(__xludf.DUMMYFUNCTION("""COMPUTED_VALUE"""),38212141)</f>
        <v>38212141</v>
      </c>
      <c r="D10" s="14" t="str">
        <f ca="1">IFERROR(__xludf.DUMMYFUNCTION("""COMPUTED_VALUE"""),"MG-PM-SJ: 2.600,-")</f>
        <v>MG-PM-SJ: 2.600,-</v>
      </c>
      <c r="E10" s="14">
        <f ca="1">IFERROR(__xludf.DUMMYFUNCTION("""COMPUTED_VALUE"""),1204)</f>
        <v>1204</v>
      </c>
      <c r="F10" s="14" t="str">
        <f ca="1">IFERROR(__xludf.DUMMYFUNCTION("""COMPUTED_VALUE"""),"Jes Frydendall")</f>
        <v>Jes Frydendall</v>
      </c>
      <c r="G10" s="14" t="str">
        <f ca="1">IFERROR(__xludf.DUMMYFUNCTION("""COMPUTED_VALUE"""),"jesf@home.dk")</f>
        <v>jesf@home.dk</v>
      </c>
      <c r="H10" s="14">
        <f ca="1">IFERROR(__xludf.DUMMYFUNCTION("""COMPUTED_VALUE"""),40302909)</f>
        <v>40302909</v>
      </c>
      <c r="I10" s="14" t="str">
        <f ca="1">IFERROR(__xludf.DUMMYFUNCTION("""COMPUTED_VALUE"""),"Sandkaj 11")</f>
        <v>Sandkaj 11</v>
      </c>
      <c r="J10" s="14">
        <f ca="1">IFERROR(__xludf.DUMMYFUNCTION("""COMPUTED_VALUE"""),2150)</f>
        <v>2150</v>
      </c>
      <c r="K10" s="14" t="str">
        <f ca="1">IFERROR(__xludf.DUMMYFUNCTION("""COMPUTED_VALUE"""),"Nordhavn")</f>
        <v>Nordhavn</v>
      </c>
      <c r="L10" s="14" t="str">
        <f ca="1">IFERROR(__xludf.DUMMYFUNCTION("""COMPUTED_VALUE"""),"København")</f>
        <v>København</v>
      </c>
      <c r="M10" s="14" t="str">
        <f ca="1">IFERROR(__xludf.DUMMYFUNCTION("""COMPUTED_VALUE"""),"København By")</f>
        <v>København By</v>
      </c>
      <c r="N10" s="14" t="str">
        <f ca="1">IFERROR(__xludf.DUMMYFUNCTION("""COMPUTED_VALUE"""),"Hovedstaden")</f>
        <v>Hovedstaden</v>
      </c>
      <c r="O10" s="14">
        <f ca="1">IFERROR(__xludf.DUMMYFUNCTION("""COMPUTED_VALUE"""),35251200)</f>
        <v>35251200</v>
      </c>
      <c r="P10" s="14" t="str">
        <f ca="1">IFERROR(__xludf.DUMMYFUNCTION("""COMPUTED_VALUE"""),"178@home.dk")</f>
        <v>178@home.dk</v>
      </c>
      <c r="Q10" s="15" t="str">
        <f ca="1">IFERROR(__xludf.DUMMYFUNCTION("""COMPUTED_VALUE"""),"https://www.boliga.dk/maegler/22754")</f>
        <v>https://www.boliga.dk/maegler/22754</v>
      </c>
      <c r="R10" s="14" t="str">
        <f ca="1">IFERROR(__xludf.DUMMYFUNCTION("""COMPUTED_VALUE"""),"-")</f>
        <v>-</v>
      </c>
      <c r="S10" s="14" t="str">
        <f ca="1">IFERROR(__xludf.DUMMYFUNCTION("""COMPUTED_VALUE"""),"-")</f>
        <v>-</v>
      </c>
      <c r="T10" s="14" t="str">
        <f ca="1">IFERROR(__xludf.DUMMYFUNCTION("""COMPUTED_VALUE"""),"-")</f>
        <v>-</v>
      </c>
      <c r="U10" s="14">
        <f ca="1">IFERROR(__xludf.DUMMYFUNCTION("""COMPUTED_VALUE"""),73)</f>
        <v>73</v>
      </c>
      <c r="V10" s="14">
        <f ca="1">IFERROR(__xludf.DUMMYFUNCTION("""COMPUTED_VALUE"""),2150)</f>
        <v>2150</v>
      </c>
      <c r="W10" s="14">
        <f ca="1">IFERROR(__xludf.DUMMYFUNCTION("""COMPUTED_VALUE"""),8)</f>
        <v>8</v>
      </c>
      <c r="X10" s="14">
        <f ca="1">IFERROR(__xludf.DUMMYFUNCTION("""COMPUTED_VALUE"""),2150)</f>
        <v>2150</v>
      </c>
      <c r="Y10" s="14" t="str">
        <f ca="1">IFERROR(__xludf.DUMMYFUNCTION("""COMPUTED_VALUE"""),"ja")</f>
        <v>ja</v>
      </c>
      <c r="Z10" s="14" t="str">
        <f ca="1">IFERROR(__xludf.DUMMYFUNCTION("""COMPUTED_VALUE"""),"PM pris. hbengt@home.dk	20 22 45 05")</f>
        <v>PM pris. hbengt@home.dk	20 22 45 05</v>
      </c>
      <c r="AA10" s="14"/>
      <c r="AB10" s="14" t="str">
        <f ca="1">IFERROR(__xludf.DUMMYFUNCTION("""COMPUTED_VALUE"""),"x")</f>
        <v>x</v>
      </c>
      <c r="AC10" s="14" t="str">
        <f ca="1">IFERROR(__xludf.DUMMYFUNCTION("""COMPUTED_VALUE"""),"x")</f>
        <v>x</v>
      </c>
    </row>
    <row r="11" spans="1:30" ht="15.75" customHeight="1" x14ac:dyDescent="0.25">
      <c r="A11" s="14" t="str">
        <f ca="1">IFERROR(__xludf.DUMMYFUNCTION("""COMPUTED_VALUE"""),"Camilla")</f>
        <v>Camilla</v>
      </c>
      <c r="B11" s="14" t="str">
        <f ca="1">IFERROR(__xludf.DUMMYFUNCTION("""COMPUTED_VALUE"""),"home Projektsalg København SV")</f>
        <v>home Projektsalg København SV</v>
      </c>
      <c r="C11" s="14">
        <f ca="1">IFERROR(__xludf.DUMMYFUNCTION("""COMPUTED_VALUE"""),20763892)</f>
        <v>20763892</v>
      </c>
      <c r="D11" s="14" t="str">
        <f ca="1">IFERROR(__xludf.DUMMYFUNCTION("""COMPUTED_VALUE"""),"MG-SJ: 3.499,-")</f>
        <v>MG-SJ: 3.499,-</v>
      </c>
      <c r="E11" s="14">
        <f ca="1">IFERROR(__xludf.DUMMYFUNCTION("""COMPUTED_VALUE"""),1202)</f>
        <v>1202</v>
      </c>
      <c r="F11" s="14" t="str">
        <f ca="1">IFERROR(__xludf.DUMMYFUNCTION("""COMPUTED_VALUE"""),"Anders Holm")</f>
        <v>Anders Holm</v>
      </c>
      <c r="G11" s="14" t="str">
        <f ca="1">IFERROR(__xludf.DUMMYFUNCTION("""COMPUTED_VALUE"""),"aholm@home.dk")</f>
        <v>aholm@home.dk</v>
      </c>
      <c r="H11" s="14">
        <f ca="1">IFERROR(__xludf.DUMMYFUNCTION("""COMPUTED_VALUE"""),42110222)</f>
        <v>42110222</v>
      </c>
      <c r="I11" s="14" t="str">
        <f ca="1">IFERROR(__xludf.DUMMYFUNCTION("""COMPUTED_VALUE"""),"Teglholmsgade 66A st")</f>
        <v>Teglholmsgade 66A st</v>
      </c>
      <c r="J11" s="14">
        <f ca="1">IFERROR(__xludf.DUMMYFUNCTION("""COMPUTED_VALUE"""),2450)</f>
        <v>2450</v>
      </c>
      <c r="K11" s="14" t="str">
        <f ca="1">IFERROR(__xludf.DUMMYFUNCTION("""COMPUTED_VALUE"""),"København SV")</f>
        <v>København SV</v>
      </c>
      <c r="L11" s="14" t="str">
        <f ca="1">IFERROR(__xludf.DUMMYFUNCTION("""COMPUTED_VALUE"""),"København")</f>
        <v>København</v>
      </c>
      <c r="M11" s="14" t="str">
        <f ca="1">IFERROR(__xludf.DUMMYFUNCTION("""COMPUTED_VALUE"""),"København By")</f>
        <v>København By</v>
      </c>
      <c r="N11" s="14" t="str">
        <f ca="1">IFERROR(__xludf.DUMMYFUNCTION("""COMPUTED_VALUE"""),"Hovedstaden")</f>
        <v>Hovedstaden</v>
      </c>
      <c r="O11" s="14">
        <f ca="1">IFERROR(__xludf.DUMMYFUNCTION("""COMPUTED_VALUE"""),33330305)</f>
        <v>33330305</v>
      </c>
      <c r="P11" s="14" t="str">
        <f ca="1">IFERROR(__xludf.DUMMYFUNCTION("""COMPUTED_VALUE"""),"177@home.dk")</f>
        <v>177@home.dk</v>
      </c>
      <c r="Q11" s="15" t="str">
        <f ca="1">IFERROR(__xludf.DUMMYFUNCTION("""COMPUTED_VALUE"""),"https://www.boliga.dk/maegler/18811")</f>
        <v>https://www.boliga.dk/maegler/18811</v>
      </c>
      <c r="R11" s="14" t="str">
        <f ca="1">IFERROR(__xludf.DUMMYFUNCTION("""COMPUTED_VALUE"""),"-")</f>
        <v>-</v>
      </c>
      <c r="S11" s="14" t="str">
        <f ca="1">IFERROR(__xludf.DUMMYFUNCTION("""COMPUTED_VALUE"""),"-")</f>
        <v>-</v>
      </c>
      <c r="T11" s="14" t="str">
        <f ca="1">IFERROR(__xludf.DUMMYFUNCTION("""COMPUTED_VALUE"""),"-")</f>
        <v>-</v>
      </c>
      <c r="U11" s="14">
        <f ca="1">IFERROR(__xludf.DUMMYFUNCTION("""COMPUTED_VALUE"""),39)</f>
        <v>39</v>
      </c>
      <c r="V11" s="14" t="str">
        <f ca="1">IFERROR(__xludf.DUMMYFUNCTION("""COMPUTED_VALUE"""),"2610, 3200, 2450, 2000, 2920, 2680, 2900, 3600, 2960")</f>
        <v>2610, 3200, 2450, 2000, 2920, 2680, 2900, 3600, 2960</v>
      </c>
      <c r="W11" s="14">
        <f ca="1">IFERROR(__xludf.DUMMYFUNCTION("""COMPUTED_VALUE"""),12)</f>
        <v>12</v>
      </c>
      <c r="X11" s="14" t="str">
        <f ca="1">IFERROR(__xludf.DUMMYFUNCTION("""COMPUTED_VALUE"""),"2200, 3600, 2450, 2000, 2960, 2300")</f>
        <v>2200, 3600, 2450, 2000, 2960, 2300</v>
      </c>
      <c r="Y11" s="14" t="str">
        <f ca="1">IFERROR(__xludf.DUMMYFUNCTION("""COMPUTED_VALUE"""),"ja")</f>
        <v>ja</v>
      </c>
      <c r="Z11" s="14"/>
      <c r="AA11" s="14"/>
      <c r="AB11" s="14" t="str">
        <f ca="1">IFERROR(__xludf.DUMMYFUNCTION("""COMPUTED_VALUE"""),"x")</f>
        <v>x</v>
      </c>
      <c r="AC11" s="14" t="str">
        <f ca="1">IFERROR(__xludf.DUMMYFUNCTION("""COMPUTED_VALUE"""),"x")</f>
        <v>x</v>
      </c>
    </row>
    <row r="12" spans="1:30" ht="15.75" customHeight="1" x14ac:dyDescent="0.25">
      <c r="A12" s="14" t="str">
        <f ca="1">IFERROR(__xludf.DUMMYFUNCTION("""COMPUTED_VALUE"""),"Camilla")</f>
        <v>Camilla</v>
      </c>
      <c r="B12" s="14" t="str">
        <f ca="1">IFERROR(__xludf.DUMMYFUNCTION("""COMPUTED_VALUE"""),"home Sundbyvester")</f>
        <v>home Sundbyvester</v>
      </c>
      <c r="C12" s="15">
        <f ca="1">IFERROR(__xludf.DUMMYFUNCTION("""COMPUTED_VALUE"""),31687926)</f>
        <v>31687926</v>
      </c>
      <c r="D12" s="14" t="str">
        <f ca="1">IFERROR(__xludf.DUMMYFUNCTION("""COMPUTED_VALUE"""),"MG-SJ: 3.499,-")</f>
        <v>MG-SJ: 3.499,-</v>
      </c>
      <c r="E12" s="14">
        <f ca="1">IFERROR(__xludf.DUMMYFUNCTION("""COMPUTED_VALUE"""),1202)</f>
        <v>1202</v>
      </c>
      <c r="F12" s="14" t="str">
        <f ca="1">IFERROR(__xludf.DUMMYFUNCTION("""COMPUTED_VALUE"""),"Mogens Steffensen")</f>
        <v>Mogens Steffensen</v>
      </c>
      <c r="G12" s="14" t="str">
        <f ca="1">IFERROR(__xludf.DUMMYFUNCTION("""COMPUTED_VALUE"""),"mstef@home.dk")</f>
        <v>mstef@home.dk</v>
      </c>
      <c r="H12" s="14">
        <f ca="1">IFERROR(__xludf.DUMMYFUNCTION("""COMPUTED_VALUE"""),41210060)</f>
        <v>41210060</v>
      </c>
      <c r="I12" s="14" t="str">
        <f ca="1">IFERROR(__xludf.DUMMYFUNCTION("""COMPUTED_VALUE"""),"Amagerbrogade 252")</f>
        <v>Amagerbrogade 252</v>
      </c>
      <c r="J12" s="14">
        <f ca="1">IFERROR(__xludf.DUMMYFUNCTION("""COMPUTED_VALUE"""),2300)</f>
        <v>2300</v>
      </c>
      <c r="K12" s="14" t="str">
        <f ca="1">IFERROR(__xludf.DUMMYFUNCTION("""COMPUTED_VALUE"""),"København S")</f>
        <v>København S</v>
      </c>
      <c r="L12" s="14" t="str">
        <f ca="1">IFERROR(__xludf.DUMMYFUNCTION("""COMPUTED_VALUE"""),"København")</f>
        <v>København</v>
      </c>
      <c r="M12" s="14" t="str">
        <f ca="1">IFERROR(__xludf.DUMMYFUNCTION("""COMPUTED_VALUE"""),"København By")</f>
        <v>København By</v>
      </c>
      <c r="N12" s="14" t="str">
        <f ca="1">IFERROR(__xludf.DUMMYFUNCTION("""COMPUTED_VALUE"""),"Hovedstaden")</f>
        <v>Hovedstaden</v>
      </c>
      <c r="O12" s="14">
        <f ca="1">IFERROR(__xludf.DUMMYFUNCTION("""COMPUTED_VALUE"""),32512141)</f>
        <v>32512141</v>
      </c>
      <c r="P12" s="14" t="str">
        <f ca="1">IFERROR(__xludf.DUMMYFUNCTION("""COMPUTED_VALUE"""),"134@home.dk")</f>
        <v>134@home.dk</v>
      </c>
      <c r="Q12" s="15" t="str">
        <f ca="1">IFERROR(__xludf.DUMMYFUNCTION("""COMPUTED_VALUE"""),"https://www.boliga.dk/maegler/465")</f>
        <v>https://www.boliga.dk/maegler/465</v>
      </c>
      <c r="R12" s="14" t="str">
        <f ca="1">IFERROR(__xludf.DUMMYFUNCTION("""COMPUTED_VALUE"""),"-")</f>
        <v>-</v>
      </c>
      <c r="S12" s="14" t="str">
        <f ca="1">IFERROR(__xludf.DUMMYFUNCTION("""COMPUTED_VALUE"""),"-")</f>
        <v>-</v>
      </c>
      <c r="T12" s="14" t="str">
        <f ca="1">IFERROR(__xludf.DUMMYFUNCTION("""COMPUTED_VALUE"""),"-")</f>
        <v>-</v>
      </c>
      <c r="U12" s="14">
        <f ca="1">IFERROR(__xludf.DUMMYFUNCTION("""COMPUTED_VALUE"""),18)</f>
        <v>18</v>
      </c>
      <c r="V12" s="14" t="str">
        <f ca="1">IFERROR(__xludf.DUMMYFUNCTION("""COMPUTED_VALUE"""),"2770, 2300, 2791")</f>
        <v>2770, 2300, 2791</v>
      </c>
      <c r="W12" s="14">
        <f ca="1">IFERROR(__xludf.DUMMYFUNCTION("""COMPUTED_VALUE"""),12)</f>
        <v>12</v>
      </c>
      <c r="X12" s="14" t="str">
        <f ca="1">IFERROR(__xludf.DUMMYFUNCTION("""COMPUTED_VALUE"""),"2300, 2770")</f>
        <v>2300, 2770</v>
      </c>
      <c r="Y12" s="14" t="str">
        <f ca="1">IFERROR(__xludf.DUMMYFUNCTION("""COMPUTED_VALUE"""),"ja")</f>
        <v>ja</v>
      </c>
      <c r="Z12" s="14"/>
      <c r="AA12" s="14"/>
      <c r="AB12" s="14" t="str">
        <f ca="1">IFERROR(__xludf.DUMMYFUNCTION("""COMPUTED_VALUE"""),"x")</f>
        <v>x</v>
      </c>
      <c r="AC12" s="14" t="str">
        <f ca="1">IFERROR(__xludf.DUMMYFUNCTION("""COMPUTED_VALUE"""),"x")</f>
        <v>x</v>
      </c>
    </row>
    <row r="13" spans="1:30" ht="15.75" customHeight="1" x14ac:dyDescent="0.25">
      <c r="A13" s="14" t="str">
        <f ca="1">IFERROR(__xludf.DUMMYFUNCTION("""COMPUTED_VALUE"""),"Camilla")</f>
        <v>Camilla</v>
      </c>
      <c r="B13" s="14" t="str">
        <f ca="1">IFERROR(__xludf.DUMMYFUNCTION("""COMPUTED_VALUE"""),"home Ørestad")</f>
        <v>home Ørestad</v>
      </c>
      <c r="C13" s="14">
        <f ca="1">IFERROR(__xludf.DUMMYFUNCTION("""COMPUTED_VALUE"""),40632255)</f>
        <v>40632255</v>
      </c>
      <c r="D13" s="14" t="str">
        <f ca="1">IFERROR(__xludf.DUMMYFUNCTION("""COMPUTED_VALUE"""),"MG-SJ: 3.499,-")</f>
        <v>MG-SJ: 3.499,-</v>
      </c>
      <c r="E13" s="14">
        <f ca="1">IFERROR(__xludf.DUMMYFUNCTION("""COMPUTED_VALUE"""),1202)</f>
        <v>1202</v>
      </c>
      <c r="F13" s="14" t="str">
        <f ca="1">IFERROR(__xludf.DUMMYFUNCTION("""COMPUTED_VALUE"""),"Sebastian Cederholm")</f>
        <v>Sebastian Cederholm</v>
      </c>
      <c r="G13" s="14" t="str">
        <f ca="1">IFERROR(__xludf.DUMMYFUNCTION("""COMPUTED_VALUE"""),"seced@home.dk")</f>
        <v>seced@home.dk</v>
      </c>
      <c r="H13" s="14">
        <f ca="1">IFERROR(__xludf.DUMMYFUNCTION("""COMPUTED_VALUE"""),41210032)</f>
        <v>41210032</v>
      </c>
      <c r="I13" s="14" t="str">
        <f ca="1">IFERROR(__xludf.DUMMYFUNCTION("""COMPUTED_VALUE"""),"Ørestads Boulevard 57D")</f>
        <v>Ørestads Boulevard 57D</v>
      </c>
      <c r="J13" s="14">
        <f ca="1">IFERROR(__xludf.DUMMYFUNCTION("""COMPUTED_VALUE"""),2300)</f>
        <v>2300</v>
      </c>
      <c r="K13" s="14" t="str">
        <f ca="1">IFERROR(__xludf.DUMMYFUNCTION("""COMPUTED_VALUE"""),"København S")</f>
        <v>København S</v>
      </c>
      <c r="L13" s="14" t="str">
        <f ca="1">IFERROR(__xludf.DUMMYFUNCTION("""COMPUTED_VALUE"""),"København")</f>
        <v>København</v>
      </c>
      <c r="M13" s="14" t="str">
        <f ca="1">IFERROR(__xludf.DUMMYFUNCTION("""COMPUTED_VALUE"""),"København By")</f>
        <v>København By</v>
      </c>
      <c r="N13" s="14" t="str">
        <f ca="1">IFERROR(__xludf.DUMMYFUNCTION("""COMPUTED_VALUE"""),"Hovedstaden")</f>
        <v>Hovedstaden</v>
      </c>
      <c r="O13" s="14">
        <f ca="1">IFERROR(__xludf.DUMMYFUNCTION("""COMPUTED_VALUE"""),32483500)</f>
        <v>32483500</v>
      </c>
      <c r="P13" s="14" t="str">
        <f ca="1">IFERROR(__xludf.DUMMYFUNCTION("""COMPUTED_VALUE"""),"168@home.dk")</f>
        <v>168@home.dk</v>
      </c>
      <c r="Q13" s="15" t="str">
        <f ca="1">IFERROR(__xludf.DUMMYFUNCTION("""COMPUTED_VALUE"""),"https://www.boliga.dk/maegler/875")</f>
        <v>https://www.boliga.dk/maegler/875</v>
      </c>
      <c r="R13" s="14" t="str">
        <f ca="1">IFERROR(__xludf.DUMMYFUNCTION("""COMPUTED_VALUE"""),"-")</f>
        <v>-</v>
      </c>
      <c r="S13" s="14" t="str">
        <f ca="1">IFERROR(__xludf.DUMMYFUNCTION("""COMPUTED_VALUE"""),"-")</f>
        <v>-</v>
      </c>
      <c r="T13" s="14" t="str">
        <f ca="1">IFERROR(__xludf.DUMMYFUNCTION("""COMPUTED_VALUE"""),"-")</f>
        <v>-</v>
      </c>
      <c r="U13" s="14">
        <f ca="1">IFERROR(__xludf.DUMMYFUNCTION("""COMPUTED_VALUE"""),10)</f>
        <v>10</v>
      </c>
      <c r="V13" s="14" t="str">
        <f ca="1">IFERROR(__xludf.DUMMYFUNCTION("""COMPUTED_VALUE"""),"1561, 2300")</f>
        <v>1561, 2300</v>
      </c>
      <c r="W13" s="14">
        <f ca="1">IFERROR(__xludf.DUMMYFUNCTION("""COMPUTED_VALUE"""),18)</f>
        <v>18</v>
      </c>
      <c r="X13" s="14" t="str">
        <f ca="1">IFERROR(__xludf.DUMMYFUNCTION("""COMPUTED_VALUE"""),"2000, 2300")</f>
        <v>2000, 2300</v>
      </c>
      <c r="Y13" s="14" t="str">
        <f ca="1">IFERROR(__xludf.DUMMYFUNCTION("""COMPUTED_VALUE"""),"ja")</f>
        <v>ja</v>
      </c>
      <c r="Z13" s="14"/>
      <c r="AA13" s="14"/>
      <c r="AB13" s="14" t="str">
        <f ca="1">IFERROR(__xludf.DUMMYFUNCTION("""COMPUTED_VALUE"""),"x")</f>
        <v>x</v>
      </c>
      <c r="AC13" s="14" t="str">
        <f ca="1">IFERROR(__xludf.DUMMYFUNCTION("""COMPUTED_VALUE"""),"x")</f>
        <v>x</v>
      </c>
    </row>
    <row r="14" spans="1:30" ht="15.75" customHeight="1" x14ac:dyDescent="0.25">
      <c r="A14" s="14" t="str">
        <f ca="1">IFERROR(__xludf.DUMMYFUNCTION("""COMPUTED_VALUE"""),"Camilla")</f>
        <v>Camilla</v>
      </c>
      <c r="B14" s="14" t="str">
        <f ca="1">IFERROR(__xludf.DUMMYFUNCTION("""COMPUTED_VALUE"""),"home Bagsværd")</f>
        <v>home Bagsværd</v>
      </c>
      <c r="C14" s="14">
        <f ca="1">IFERROR(__xludf.DUMMYFUNCTION("""COMPUTED_VALUE"""),20763892)</f>
        <v>20763892</v>
      </c>
      <c r="D14" s="14" t="str">
        <f ca="1">IFERROR(__xludf.DUMMYFUNCTION("""COMPUTED_VALUE"""),"MG-SJ: 3.499,-")</f>
        <v>MG-SJ: 3.499,-</v>
      </c>
      <c r="E14" s="14">
        <f ca="1">IFERROR(__xludf.DUMMYFUNCTION("""COMPUTED_VALUE"""),1202)</f>
        <v>1202</v>
      </c>
      <c r="F14" s="14" t="str">
        <f ca="1">IFERROR(__xludf.DUMMYFUNCTION("""COMPUTED_VALUE"""),"Anders holm")</f>
        <v>Anders holm</v>
      </c>
      <c r="G14" s="14" t="str">
        <f ca="1">IFERROR(__xludf.DUMMYFUNCTION("""COMPUTED_VALUE"""),"aholm@home.dk")</f>
        <v>aholm@home.dk</v>
      </c>
      <c r="H14" s="14">
        <f ca="1">IFERROR(__xludf.DUMMYFUNCTION("""COMPUTED_VALUE"""),42110222)</f>
        <v>42110222</v>
      </c>
      <c r="I14" s="14" t="str">
        <f ca="1">IFERROR(__xludf.DUMMYFUNCTION("""COMPUTED_VALUE"""),"Bagsværd Hovedgade 113")</f>
        <v>Bagsværd Hovedgade 113</v>
      </c>
      <c r="J14" s="14">
        <f ca="1">IFERROR(__xludf.DUMMYFUNCTION("""COMPUTED_VALUE"""),2880)</f>
        <v>2880</v>
      </c>
      <c r="K14" s="14" t="str">
        <f ca="1">IFERROR(__xludf.DUMMYFUNCTION("""COMPUTED_VALUE"""),"Bagsværd")</f>
        <v>Bagsværd</v>
      </c>
      <c r="L14" s="14" t="str">
        <f ca="1">IFERROR(__xludf.DUMMYFUNCTION("""COMPUTED_VALUE"""),"Gladsaxe")</f>
        <v>Gladsaxe</v>
      </c>
      <c r="M14" s="14" t="str">
        <f ca="1">IFERROR(__xludf.DUMMYFUNCTION("""COMPUTED_VALUE"""),"Københavns omegn")</f>
        <v>Københavns omegn</v>
      </c>
      <c r="N14" s="14" t="str">
        <f ca="1">IFERROR(__xludf.DUMMYFUNCTION("""COMPUTED_VALUE"""),"Hovedstaden")</f>
        <v>Hovedstaden</v>
      </c>
      <c r="O14" s="14">
        <f ca="1">IFERROR(__xludf.DUMMYFUNCTION("""COMPUTED_VALUE"""),44981818)</f>
        <v>44981818</v>
      </c>
      <c r="P14" s="14" t="str">
        <f ca="1">IFERROR(__xludf.DUMMYFUNCTION("""COMPUTED_VALUE"""),"146@home.dk")</f>
        <v>146@home.dk</v>
      </c>
      <c r="Q14" s="15" t="str">
        <f ca="1">IFERROR(__xludf.DUMMYFUNCTION("""COMPUTED_VALUE"""),"https://www.boliga.dk/maegler/542")</f>
        <v>https://www.boliga.dk/maegler/542</v>
      </c>
      <c r="R14" s="14" t="str">
        <f ca="1">IFERROR(__xludf.DUMMYFUNCTION("""COMPUTED_VALUE"""),"-")</f>
        <v>-</v>
      </c>
      <c r="S14" s="14" t="str">
        <f ca="1">IFERROR(__xludf.DUMMYFUNCTION("""COMPUTED_VALUE"""),"-")</f>
        <v>-</v>
      </c>
      <c r="T14" s="14" t="str">
        <f ca="1">IFERROR(__xludf.DUMMYFUNCTION("""COMPUTED_VALUE"""),"-")</f>
        <v>-</v>
      </c>
      <c r="U14" s="14">
        <f ca="1">IFERROR(__xludf.DUMMYFUNCTION("""COMPUTED_VALUE"""),8)</f>
        <v>8</v>
      </c>
      <c r="V14" s="14">
        <f ca="1">IFERROR(__xludf.DUMMYFUNCTION("""COMPUTED_VALUE"""),2880)</f>
        <v>2880</v>
      </c>
      <c r="W14" s="14">
        <f ca="1">IFERROR(__xludf.DUMMYFUNCTION("""COMPUTED_VALUE"""),8)</f>
        <v>8</v>
      </c>
      <c r="X14" s="14">
        <f ca="1">IFERROR(__xludf.DUMMYFUNCTION("""COMPUTED_VALUE"""),2880)</f>
        <v>2880</v>
      </c>
      <c r="Y14" s="14" t="str">
        <f ca="1">IFERROR(__xludf.DUMMYFUNCTION("""COMPUTED_VALUE"""),"ja")</f>
        <v>ja</v>
      </c>
      <c r="Z14" s="14"/>
      <c r="AA14" s="14"/>
      <c r="AB14" s="14" t="str">
        <f ca="1">IFERROR(__xludf.DUMMYFUNCTION("""COMPUTED_VALUE"""),"x")</f>
        <v>x</v>
      </c>
      <c r="AC14" s="14" t="str">
        <f ca="1">IFERROR(__xludf.DUMMYFUNCTION("""COMPUTED_VALUE"""),"x")</f>
        <v>x</v>
      </c>
    </row>
    <row r="15" spans="1:30" ht="15.75" customHeight="1" x14ac:dyDescent="0.25">
      <c r="A15" s="14" t="str">
        <f ca="1">IFERROR(__xludf.DUMMYFUNCTION("""COMPUTED_VALUE"""),"Camilla")</f>
        <v>Camilla</v>
      </c>
      <c r="B15" s="14" t="str">
        <f ca="1">IFERROR(__xludf.DUMMYFUNCTION("""COMPUTED_VALUE"""),"home Ballerup")</f>
        <v>home Ballerup</v>
      </c>
      <c r="C15" s="14">
        <f ca="1">IFERROR(__xludf.DUMMYFUNCTION("""COMPUTED_VALUE"""),20763892)</f>
        <v>20763892</v>
      </c>
      <c r="D15" s="14" t="str">
        <f ca="1">IFERROR(__xludf.DUMMYFUNCTION("""COMPUTED_VALUE"""),"MG-SJ: 3.499,-")</f>
        <v>MG-SJ: 3.499,-</v>
      </c>
      <c r="E15" s="14">
        <f ca="1">IFERROR(__xludf.DUMMYFUNCTION("""COMPUTED_VALUE"""),1202)</f>
        <v>1202</v>
      </c>
      <c r="F15" s="14" t="str">
        <f ca="1">IFERROR(__xludf.DUMMYFUNCTION("""COMPUTED_VALUE"""),"Anders holm")</f>
        <v>Anders holm</v>
      </c>
      <c r="G15" s="14" t="str">
        <f ca="1">IFERROR(__xludf.DUMMYFUNCTION("""COMPUTED_VALUE"""),"aholm@home.dk")</f>
        <v>aholm@home.dk</v>
      </c>
      <c r="H15" s="14">
        <f ca="1">IFERROR(__xludf.DUMMYFUNCTION("""COMPUTED_VALUE"""),42120222)</f>
        <v>42120222</v>
      </c>
      <c r="I15" s="14" t="str">
        <f ca="1">IFERROR(__xludf.DUMMYFUNCTION("""COMPUTED_VALUE"""),"Bydammen 1D")</f>
        <v>Bydammen 1D</v>
      </c>
      <c r="J15" s="14">
        <f ca="1">IFERROR(__xludf.DUMMYFUNCTION("""COMPUTED_VALUE"""),2750)</f>
        <v>2750</v>
      </c>
      <c r="K15" s="14" t="str">
        <f ca="1">IFERROR(__xludf.DUMMYFUNCTION("""COMPUTED_VALUE"""),"Ballerup")</f>
        <v>Ballerup</v>
      </c>
      <c r="L15" s="14" t="str">
        <f ca="1">IFERROR(__xludf.DUMMYFUNCTION("""COMPUTED_VALUE"""),"Ballerup")</f>
        <v>Ballerup</v>
      </c>
      <c r="M15" s="14" t="str">
        <f ca="1">IFERROR(__xludf.DUMMYFUNCTION("""COMPUTED_VALUE"""),"Københavns omegn")</f>
        <v>Københavns omegn</v>
      </c>
      <c r="N15" s="14" t="str">
        <f ca="1">IFERROR(__xludf.DUMMYFUNCTION("""COMPUTED_VALUE"""),"Hovedstaden")</f>
        <v>Hovedstaden</v>
      </c>
      <c r="O15" s="14">
        <f ca="1">IFERROR(__xludf.DUMMYFUNCTION("""COMPUTED_VALUE"""),44682055)</f>
        <v>44682055</v>
      </c>
      <c r="P15" s="14" t="str">
        <f ca="1">IFERROR(__xludf.DUMMYFUNCTION("""COMPUTED_VALUE"""),"118@home.dk")</f>
        <v>118@home.dk</v>
      </c>
      <c r="Q15" s="15" t="str">
        <f ca="1">IFERROR(__xludf.DUMMYFUNCTION("""COMPUTED_VALUE"""),"https://www.boliga.dk/maegler/999")</f>
        <v>https://www.boliga.dk/maegler/999</v>
      </c>
      <c r="R15" s="14" t="str">
        <f ca="1">IFERROR(__xludf.DUMMYFUNCTION("""COMPUTED_VALUE"""),"-")</f>
        <v>-</v>
      </c>
      <c r="S15" s="14" t="str">
        <f ca="1">IFERROR(__xludf.DUMMYFUNCTION("""COMPUTED_VALUE"""),"-")</f>
        <v>-</v>
      </c>
      <c r="T15" s="14" t="str">
        <f ca="1">IFERROR(__xludf.DUMMYFUNCTION("""COMPUTED_VALUE"""),"-")</f>
        <v>-</v>
      </c>
      <c r="U15" s="14">
        <f ca="1">IFERROR(__xludf.DUMMYFUNCTION("""COMPUTED_VALUE"""),11)</f>
        <v>11</v>
      </c>
      <c r="V15" s="14" t="str">
        <f ca="1">IFERROR(__xludf.DUMMYFUNCTION("""COMPUTED_VALUE"""),"2760, 2740, 2750")</f>
        <v>2760, 2740, 2750</v>
      </c>
      <c r="W15" s="14">
        <f ca="1">IFERROR(__xludf.DUMMYFUNCTION("""COMPUTED_VALUE"""),32)</f>
        <v>32</v>
      </c>
      <c r="X15" s="14" t="str">
        <f ca="1">IFERROR(__xludf.DUMMYFUNCTION("""COMPUTED_VALUE"""),"2740, 2760, 2750")</f>
        <v>2740, 2760, 2750</v>
      </c>
      <c r="Y15" s="14" t="str">
        <f ca="1">IFERROR(__xludf.DUMMYFUNCTION("""COMPUTED_VALUE"""),"ja")</f>
        <v>ja</v>
      </c>
      <c r="Z15" s="14"/>
      <c r="AA15" s="14"/>
      <c r="AB15" s="14" t="str">
        <f ca="1">IFERROR(__xludf.DUMMYFUNCTION("""COMPUTED_VALUE"""),"x")</f>
        <v>x</v>
      </c>
      <c r="AC15" s="14" t="str">
        <f ca="1">IFERROR(__xludf.DUMMYFUNCTION("""COMPUTED_VALUE"""),"x")</f>
        <v>x</v>
      </c>
    </row>
    <row r="16" spans="1:30" ht="15.75" customHeight="1" x14ac:dyDescent="0.25">
      <c r="A16" s="14" t="str">
        <f ca="1">IFERROR(__xludf.DUMMYFUNCTION("""COMPUTED_VALUE"""),"Camilla")</f>
        <v>Camilla</v>
      </c>
      <c r="B16" s="14" t="str">
        <f ca="1">IFERROR(__xludf.DUMMYFUNCTION("""COMPUTED_VALUE"""),"home Glostrup/Albertslund/Brøndby")</f>
        <v>home Glostrup/Albertslund/Brøndby</v>
      </c>
      <c r="C16" s="14">
        <f ca="1">IFERROR(__xludf.DUMMYFUNCTION("""COMPUTED_VALUE"""),40538658)</f>
        <v>40538658</v>
      </c>
      <c r="D16" s="14" t="str">
        <f ca="1">IFERROR(__xludf.DUMMYFUNCTION("""COMPUTED_VALUE"""),"MG-SJ: 3.499,-")</f>
        <v>MG-SJ: 3.499,-</v>
      </c>
      <c r="E16" s="14">
        <f ca="1">IFERROR(__xludf.DUMMYFUNCTION("""COMPUTED_VALUE"""),1202)</f>
        <v>1202</v>
      </c>
      <c r="F16" s="14" t="str">
        <f ca="1">IFERROR(__xludf.DUMMYFUNCTION("""COMPUTED_VALUE"""),"Rasmus Mørch")</f>
        <v>Rasmus Mørch</v>
      </c>
      <c r="G16" s="14" t="str">
        <f ca="1">IFERROR(__xludf.DUMMYFUNCTION("""COMPUTED_VALUE"""),"ramh@home.dk")</f>
        <v>ramh@home.dk</v>
      </c>
      <c r="H16" s="14">
        <f ca="1">IFERROR(__xludf.DUMMYFUNCTION("""COMPUTED_VALUE"""),30807030)</f>
        <v>30807030</v>
      </c>
      <c r="I16" s="14" t="str">
        <f ca="1">IFERROR(__xludf.DUMMYFUNCTION("""COMPUTED_VALUE"""),"Hovedvejen 126")</f>
        <v>Hovedvejen 126</v>
      </c>
      <c r="J16" s="14">
        <f ca="1">IFERROR(__xludf.DUMMYFUNCTION("""COMPUTED_VALUE"""),2600)</f>
        <v>2600</v>
      </c>
      <c r="K16" s="14" t="str">
        <f ca="1">IFERROR(__xludf.DUMMYFUNCTION("""COMPUTED_VALUE"""),"Glostrup")</f>
        <v>Glostrup</v>
      </c>
      <c r="L16" s="14" t="str">
        <f ca="1">IFERROR(__xludf.DUMMYFUNCTION("""COMPUTED_VALUE"""),"Glostrup")</f>
        <v>Glostrup</v>
      </c>
      <c r="M16" s="14" t="str">
        <f ca="1">IFERROR(__xludf.DUMMYFUNCTION("""COMPUTED_VALUE"""),"Københavns omegn")</f>
        <v>Københavns omegn</v>
      </c>
      <c r="N16" s="14" t="str">
        <f ca="1">IFERROR(__xludf.DUMMYFUNCTION("""COMPUTED_VALUE"""),"Hovedstaden")</f>
        <v>Hovedstaden</v>
      </c>
      <c r="O16" s="14">
        <f ca="1">IFERROR(__xludf.DUMMYFUNCTION("""COMPUTED_VALUE"""),43434141)</f>
        <v>43434141</v>
      </c>
      <c r="P16" s="14" t="str">
        <f ca="1">IFERROR(__xludf.DUMMYFUNCTION("""COMPUTED_VALUE"""),"109@home.dk")</f>
        <v>109@home.dk</v>
      </c>
      <c r="Q16" s="15" t="str">
        <f ca="1">IFERROR(__xludf.DUMMYFUNCTION("""COMPUTED_VALUE"""),"https://www.boliga.dk/maegler/862")</f>
        <v>https://www.boliga.dk/maegler/862</v>
      </c>
      <c r="R16" s="14" t="str">
        <f ca="1">IFERROR(__xludf.DUMMYFUNCTION("""COMPUTED_VALUE"""),"-")</f>
        <v>-</v>
      </c>
      <c r="S16" s="14" t="str">
        <f ca="1">IFERROR(__xludf.DUMMYFUNCTION("""COMPUTED_VALUE"""),"-")</f>
        <v>-</v>
      </c>
      <c r="T16" s="14" t="str">
        <f ca="1">IFERROR(__xludf.DUMMYFUNCTION("""COMPUTED_VALUE"""),"-")</f>
        <v>-</v>
      </c>
      <c r="U16" s="14">
        <f ca="1">IFERROR(__xludf.DUMMYFUNCTION("""COMPUTED_VALUE"""),23)</f>
        <v>23</v>
      </c>
      <c r="V16" s="14" t="str">
        <f ca="1">IFERROR(__xludf.DUMMYFUNCTION("""COMPUTED_VALUE"""),"2620, 2610, 2600, 2700, 2605")</f>
        <v>2620, 2610, 2600, 2700, 2605</v>
      </c>
      <c r="W16" s="14">
        <f ca="1">IFERROR(__xludf.DUMMYFUNCTION("""COMPUTED_VALUE"""),30)</f>
        <v>30</v>
      </c>
      <c r="X16" s="14" t="str">
        <f ca="1">IFERROR(__xludf.DUMMYFUNCTION("""COMPUTED_VALUE"""),"2620, 2610, 2600, 2605, 2650")</f>
        <v>2620, 2610, 2600, 2605, 2650</v>
      </c>
      <c r="Y16" s="14" t="str">
        <f ca="1">IFERROR(__xludf.DUMMYFUNCTION("""COMPUTED_VALUE"""),"ja")</f>
        <v>ja</v>
      </c>
      <c r="Z16" s="14"/>
      <c r="AA16" s="14"/>
      <c r="AB16" s="14" t="str">
        <f ca="1">IFERROR(__xludf.DUMMYFUNCTION("""COMPUTED_VALUE"""),"x")</f>
        <v>x</v>
      </c>
      <c r="AC16" s="14" t="str">
        <f ca="1">IFERROR(__xludf.DUMMYFUNCTION("""COMPUTED_VALUE"""),"x")</f>
        <v>x</v>
      </c>
    </row>
    <row r="17" spans="1:29" ht="15.75" customHeight="1" x14ac:dyDescent="0.25">
      <c r="A17" s="14" t="str">
        <f ca="1">IFERROR(__xludf.DUMMYFUNCTION("""COMPUTED_VALUE"""),"Camilla")</f>
        <v>Camilla</v>
      </c>
      <c r="B17" s="14" t="str">
        <f ca="1">IFERROR(__xludf.DUMMYFUNCTION("""COMPUTED_VALUE"""),"home Hedehusene")</f>
        <v>home Hedehusene</v>
      </c>
      <c r="C17" s="15">
        <f ca="1">IFERROR(__xludf.DUMMYFUNCTION("""COMPUTED_VALUE"""),40567399)</f>
        <v>40567399</v>
      </c>
      <c r="D17" s="14" t="str">
        <f ca="1">IFERROR(__xludf.DUMMYFUNCTION("""COMPUTED_VALUE"""),"MG-SJ: 3.499,-")</f>
        <v>MG-SJ: 3.499,-</v>
      </c>
      <c r="E17" s="14">
        <f ca="1">IFERROR(__xludf.DUMMYFUNCTION("""COMPUTED_VALUE"""),1202)</f>
        <v>1202</v>
      </c>
      <c r="F17" s="14" t="str">
        <f ca="1">IFERROR(__xludf.DUMMYFUNCTION("""COMPUTED_VALUE"""),"Morten Sørensen")</f>
        <v>Morten Sørensen</v>
      </c>
      <c r="G17" s="14" t="str">
        <f ca="1">IFERROR(__xludf.DUMMYFUNCTION("""COMPUTED_VALUE"""),"mosor@home.dk")</f>
        <v>mosor@home.dk</v>
      </c>
      <c r="H17" s="14">
        <f ca="1">IFERROR(__xludf.DUMMYFUNCTION("""COMPUTED_VALUE"""),28552235)</f>
        <v>28552235</v>
      </c>
      <c r="I17" s="14" t="str">
        <f ca="1">IFERROR(__xludf.DUMMYFUNCTION("""COMPUTED_VALUE"""),"Hovedgaden 427")</f>
        <v>Hovedgaden 427</v>
      </c>
      <c r="J17" s="14">
        <f ca="1">IFERROR(__xludf.DUMMYFUNCTION("""COMPUTED_VALUE"""),2640)</f>
        <v>2640</v>
      </c>
      <c r="K17" s="14" t="str">
        <f ca="1">IFERROR(__xludf.DUMMYFUNCTION("""COMPUTED_VALUE"""),"Hedehusene")</f>
        <v>Hedehusene</v>
      </c>
      <c r="L17" s="14" t="str">
        <f ca="1">IFERROR(__xludf.DUMMYFUNCTION("""COMPUTED_VALUE"""),"Høje-Taastrup")</f>
        <v>Høje-Taastrup</v>
      </c>
      <c r="M17" s="14" t="str">
        <f ca="1">IFERROR(__xludf.DUMMYFUNCTION("""COMPUTED_VALUE"""),"Københavns omegn")</f>
        <v>Københavns omegn</v>
      </c>
      <c r="N17" s="14" t="str">
        <f ca="1">IFERROR(__xludf.DUMMYFUNCTION("""COMPUTED_VALUE"""),"Hovedstaden")</f>
        <v>Hovedstaden</v>
      </c>
      <c r="O17" s="14">
        <f ca="1">IFERROR(__xludf.DUMMYFUNCTION("""COMPUTED_VALUE"""),36141040)</f>
        <v>36141040</v>
      </c>
      <c r="P17" s="14" t="str">
        <f ca="1">IFERROR(__xludf.DUMMYFUNCTION("""COMPUTED_VALUE"""),"180@home.dk")</f>
        <v>180@home.dk</v>
      </c>
      <c r="Q17" s="15" t="str">
        <f ca="1">IFERROR(__xludf.DUMMYFUNCTION("""COMPUTED_VALUE"""),"https://www.boliga.dk/maegler/24832")</f>
        <v>https://www.boliga.dk/maegler/24832</v>
      </c>
      <c r="R17" s="14" t="str">
        <f ca="1">IFERROR(__xludf.DUMMYFUNCTION("""COMPUTED_VALUE"""),"-")</f>
        <v>-</v>
      </c>
      <c r="S17" s="14" t="str">
        <f ca="1">IFERROR(__xludf.DUMMYFUNCTION("""COMPUTED_VALUE"""),"-")</f>
        <v>-</v>
      </c>
      <c r="T17" s="14" t="str">
        <f ca="1">IFERROR(__xludf.DUMMYFUNCTION("""COMPUTED_VALUE"""),"-")</f>
        <v>-</v>
      </c>
      <c r="U17" s="14">
        <f ca="1">IFERROR(__xludf.DUMMYFUNCTION("""COMPUTED_VALUE"""),19)</f>
        <v>19</v>
      </c>
      <c r="V17" s="14">
        <f ca="1">IFERROR(__xludf.DUMMYFUNCTION("""COMPUTED_VALUE"""),2640)</f>
        <v>2640</v>
      </c>
      <c r="W17" s="14">
        <f ca="1">IFERROR(__xludf.DUMMYFUNCTION("""COMPUTED_VALUE"""),16)</f>
        <v>16</v>
      </c>
      <c r="X17" s="14">
        <f ca="1">IFERROR(__xludf.DUMMYFUNCTION("""COMPUTED_VALUE"""),2640)</f>
        <v>2640</v>
      </c>
      <c r="Y17" s="14" t="str">
        <f ca="1">IFERROR(__xludf.DUMMYFUNCTION("""COMPUTED_VALUE"""),"ja")</f>
        <v>ja</v>
      </c>
      <c r="Z17" s="14"/>
      <c r="AA17" s="14"/>
      <c r="AB17" s="14" t="str">
        <f ca="1">IFERROR(__xludf.DUMMYFUNCTION("""COMPUTED_VALUE"""),"x")</f>
        <v>x</v>
      </c>
      <c r="AC17" s="14" t="str">
        <f ca="1">IFERROR(__xludf.DUMMYFUNCTION("""COMPUTED_VALUE"""),"x")</f>
        <v>x</v>
      </c>
    </row>
    <row r="18" spans="1:29" ht="15.75" customHeight="1" x14ac:dyDescent="0.25">
      <c r="A18" s="14" t="str">
        <f ca="1">IFERROR(__xludf.DUMMYFUNCTION("""COMPUTED_VALUE"""),"Camilla")</f>
        <v>Camilla</v>
      </c>
      <c r="B18" s="14" t="str">
        <f ca="1">IFERROR(__xludf.DUMMYFUNCTION("""COMPUTED_VALUE"""),"home Hellerup")</f>
        <v>home Hellerup</v>
      </c>
      <c r="C18" s="15">
        <f ca="1">IFERROR(__xludf.DUMMYFUNCTION("""COMPUTED_VALUE"""),10074312)</f>
        <v>10074312</v>
      </c>
      <c r="D18" s="14" t="str">
        <f ca="1">IFERROR(__xludf.DUMMYFUNCTION("""COMPUTED_VALUE"""),"MG-PM-SJ: 2.600,-")</f>
        <v>MG-PM-SJ: 2.600,-</v>
      </c>
      <c r="E18" s="14">
        <f ca="1">IFERROR(__xludf.DUMMYFUNCTION("""COMPUTED_VALUE"""),1204)</f>
        <v>1204</v>
      </c>
      <c r="F18" s="14" t="str">
        <f ca="1">IFERROR(__xludf.DUMMYFUNCTION("""COMPUTED_VALUE"""),"Jes Frydendall")</f>
        <v>Jes Frydendall</v>
      </c>
      <c r="G18" s="14" t="str">
        <f ca="1">IFERROR(__xludf.DUMMYFUNCTION("""COMPUTED_VALUE"""),"jesf@home.dk")</f>
        <v>jesf@home.dk</v>
      </c>
      <c r="H18" s="14">
        <f ca="1">IFERROR(__xludf.DUMMYFUNCTION("""COMPUTED_VALUE"""),40302909)</f>
        <v>40302909</v>
      </c>
      <c r="I18" s="14" t="str">
        <f ca="1">IFERROR(__xludf.DUMMYFUNCTION("""COMPUTED_VALUE"""),"Strandvejen 132A")</f>
        <v>Strandvejen 132A</v>
      </c>
      <c r="J18" s="14">
        <f ca="1">IFERROR(__xludf.DUMMYFUNCTION("""COMPUTED_VALUE"""),2900)</f>
        <v>2900</v>
      </c>
      <c r="K18" s="14" t="str">
        <f ca="1">IFERROR(__xludf.DUMMYFUNCTION("""COMPUTED_VALUE"""),"Hellerup")</f>
        <v>Hellerup</v>
      </c>
      <c r="L18" s="14" t="str">
        <f ca="1">IFERROR(__xludf.DUMMYFUNCTION("""COMPUTED_VALUE"""),"Gentofte")</f>
        <v>Gentofte</v>
      </c>
      <c r="M18" s="14" t="str">
        <f ca="1">IFERROR(__xludf.DUMMYFUNCTION("""COMPUTED_VALUE"""),"Københavns omegn")</f>
        <v>Københavns omegn</v>
      </c>
      <c r="N18" s="14" t="str">
        <f ca="1">IFERROR(__xludf.DUMMYFUNCTION("""COMPUTED_VALUE"""),"Hovedstaden")</f>
        <v>Hovedstaden</v>
      </c>
      <c r="O18" s="14">
        <f ca="1">IFERROR(__xludf.DUMMYFUNCTION("""COMPUTED_VALUE"""),39627626)</f>
        <v>39627626</v>
      </c>
      <c r="P18" s="14" t="str">
        <f ca="1">IFERROR(__xludf.DUMMYFUNCTION("""COMPUTED_VALUE"""),"129@home.dk")</f>
        <v>129@home.dk</v>
      </c>
      <c r="Q18" s="15" t="str">
        <f ca="1">IFERROR(__xludf.DUMMYFUNCTION("""COMPUTED_VALUE"""),"https://www.boliga.dk/maegler/742")</f>
        <v>https://www.boliga.dk/maegler/742</v>
      </c>
      <c r="R18" s="14" t="str">
        <f ca="1">IFERROR(__xludf.DUMMYFUNCTION("""COMPUTED_VALUE"""),"-")</f>
        <v>-</v>
      </c>
      <c r="S18" s="14" t="str">
        <f ca="1">IFERROR(__xludf.DUMMYFUNCTION("""COMPUTED_VALUE"""),"-")</f>
        <v>-</v>
      </c>
      <c r="T18" s="14" t="str">
        <f ca="1">IFERROR(__xludf.DUMMYFUNCTION("""COMPUTED_VALUE"""),"-")</f>
        <v>-</v>
      </c>
      <c r="U18" s="14">
        <f ca="1">IFERROR(__xludf.DUMMYFUNCTION("""COMPUTED_VALUE"""),15)</f>
        <v>15</v>
      </c>
      <c r="V18" s="14" t="str">
        <f ca="1">IFERROR(__xludf.DUMMYFUNCTION("""COMPUTED_VALUE"""),"2970, 2920, 2900, 2950")</f>
        <v>2970, 2920, 2900, 2950</v>
      </c>
      <c r="W18" s="14">
        <f ca="1">IFERROR(__xludf.DUMMYFUNCTION("""COMPUTED_VALUE"""),28)</f>
        <v>28</v>
      </c>
      <c r="X18" s="14" t="str">
        <f ca="1">IFERROR(__xludf.DUMMYFUNCTION("""COMPUTED_VALUE"""),"2900, 2800, 2920, 3480")</f>
        <v>2900, 2800, 2920, 3480</v>
      </c>
      <c r="Y18" s="14" t="str">
        <f ca="1">IFERROR(__xludf.DUMMYFUNCTION("""COMPUTED_VALUE"""),"ja")</f>
        <v>ja</v>
      </c>
      <c r="Z18" s="14" t="str">
        <f ca="1">IFERROR(__xludf.DUMMYFUNCTION("""COMPUTED_VALUE"""),"Er med i en PM butik")</f>
        <v>Er med i en PM butik</v>
      </c>
      <c r="AA18" s="14"/>
      <c r="AB18" s="14" t="str">
        <f ca="1">IFERROR(__xludf.DUMMYFUNCTION("""COMPUTED_VALUE"""),"x")</f>
        <v>x</v>
      </c>
      <c r="AC18" s="14" t="str">
        <f ca="1">IFERROR(__xludf.DUMMYFUNCTION("""COMPUTED_VALUE"""),"x")</f>
        <v>x</v>
      </c>
    </row>
    <row r="19" spans="1:29" ht="12.5" x14ac:dyDescent="0.25">
      <c r="A19" s="14" t="str">
        <f ca="1">IFERROR(__xludf.DUMMYFUNCTION("""COMPUTED_VALUE"""),"Camilla")</f>
        <v>Camilla</v>
      </c>
      <c r="B19" s="14" t="str">
        <f ca="1">IFERROR(__xludf.DUMMYFUNCTION("""COMPUTED_VALUE"""),"home Herlev")</f>
        <v>home Herlev</v>
      </c>
      <c r="C19" s="14">
        <f ca="1">IFERROR(__xludf.DUMMYFUNCTION("""COMPUTED_VALUE"""),20763892)</f>
        <v>20763892</v>
      </c>
      <c r="D19" s="14" t="str">
        <f ca="1">IFERROR(__xludf.DUMMYFUNCTION("""COMPUTED_VALUE"""),"MG-SJ: 3.499,-")</f>
        <v>MG-SJ: 3.499,-</v>
      </c>
      <c r="E19" s="14">
        <f ca="1">IFERROR(__xludf.DUMMYFUNCTION("""COMPUTED_VALUE"""),1202)</f>
        <v>1202</v>
      </c>
      <c r="F19" s="14" t="str">
        <f ca="1">IFERROR(__xludf.DUMMYFUNCTION("""COMPUTED_VALUE"""),"Anders holm")</f>
        <v>Anders holm</v>
      </c>
      <c r="G19" s="14" t="str">
        <f ca="1">IFERROR(__xludf.DUMMYFUNCTION("""COMPUTED_VALUE"""),"aholm@home.dk")</f>
        <v>aholm@home.dk</v>
      </c>
      <c r="H19" s="14">
        <f ca="1">IFERROR(__xludf.DUMMYFUNCTION("""COMPUTED_VALUE"""),42120222)</f>
        <v>42120222</v>
      </c>
      <c r="I19" s="14" t="str">
        <f ca="1">IFERROR(__xludf.DUMMYFUNCTION("""COMPUTED_VALUE"""),"Bangs Torv, Herlev Hovedgade 125")</f>
        <v>Bangs Torv, Herlev Hovedgade 125</v>
      </c>
      <c r="J19" s="14">
        <f ca="1">IFERROR(__xludf.DUMMYFUNCTION("""COMPUTED_VALUE"""),2730)</f>
        <v>2730</v>
      </c>
      <c r="K19" s="14" t="str">
        <f ca="1">IFERROR(__xludf.DUMMYFUNCTION("""COMPUTED_VALUE"""),"Herlev")</f>
        <v>Herlev</v>
      </c>
      <c r="L19" s="14" t="str">
        <f ca="1">IFERROR(__xludf.DUMMYFUNCTION("""COMPUTED_VALUE"""),"Herlev")</f>
        <v>Herlev</v>
      </c>
      <c r="M19" s="14" t="str">
        <f ca="1">IFERROR(__xludf.DUMMYFUNCTION("""COMPUTED_VALUE"""),"Københavns omegn")</f>
        <v>Københavns omegn</v>
      </c>
      <c r="N19" s="14" t="str">
        <f ca="1">IFERROR(__xludf.DUMMYFUNCTION("""COMPUTED_VALUE"""),"Hovedstaden")</f>
        <v>Hovedstaden</v>
      </c>
      <c r="O19" s="14">
        <f ca="1">IFERROR(__xludf.DUMMYFUNCTION("""COMPUTED_VALUE"""),44531818)</f>
        <v>44531818</v>
      </c>
      <c r="P19" s="14" t="str">
        <f ca="1">IFERROR(__xludf.DUMMYFUNCTION("""COMPUTED_VALUE"""),"103@home.dk")</f>
        <v>103@home.dk</v>
      </c>
      <c r="Q19" s="15" t="str">
        <f ca="1">IFERROR(__xludf.DUMMYFUNCTION("""COMPUTED_VALUE"""),"https://www.boliga.dk/maegler/1033")</f>
        <v>https://www.boliga.dk/maegler/1033</v>
      </c>
      <c r="R19" s="14" t="str">
        <f ca="1">IFERROR(__xludf.DUMMYFUNCTION("""COMPUTED_VALUE"""),"-")</f>
        <v>-</v>
      </c>
      <c r="S19" s="14" t="str">
        <f ca="1">IFERROR(__xludf.DUMMYFUNCTION("""COMPUTED_VALUE"""),"-")</f>
        <v>-</v>
      </c>
      <c r="T19" s="14" t="str">
        <f ca="1">IFERROR(__xludf.DUMMYFUNCTION("""COMPUTED_VALUE"""),"-")</f>
        <v>-</v>
      </c>
      <c r="U19" s="14">
        <f ca="1">IFERROR(__xludf.DUMMYFUNCTION("""COMPUTED_VALUE"""),10)</f>
        <v>10</v>
      </c>
      <c r="V19" s="14">
        <f ca="1">IFERROR(__xludf.DUMMYFUNCTION("""COMPUTED_VALUE"""),2730)</f>
        <v>2730</v>
      </c>
      <c r="W19" s="14">
        <f ca="1">IFERROR(__xludf.DUMMYFUNCTION("""COMPUTED_VALUE"""),18)</f>
        <v>18</v>
      </c>
      <c r="X19" s="14">
        <f ca="1">IFERROR(__xludf.DUMMYFUNCTION("""COMPUTED_VALUE"""),2730)</f>
        <v>2730</v>
      </c>
      <c r="Y19" s="14" t="str">
        <f ca="1">IFERROR(__xludf.DUMMYFUNCTION("""COMPUTED_VALUE"""),"ja")</f>
        <v>ja</v>
      </c>
      <c r="Z19" s="14"/>
      <c r="AA19" s="14"/>
      <c r="AB19" s="14" t="str">
        <f ca="1">IFERROR(__xludf.DUMMYFUNCTION("""COMPUTED_VALUE"""),"x")</f>
        <v>x</v>
      </c>
      <c r="AC19" s="14" t="str">
        <f ca="1">IFERROR(__xludf.DUMMYFUNCTION("""COMPUTED_VALUE"""),"x")</f>
        <v>x</v>
      </c>
    </row>
    <row r="20" spans="1:29" ht="12.5" x14ac:dyDescent="0.25">
      <c r="A20" s="14" t="str">
        <f ca="1">IFERROR(__xludf.DUMMYFUNCTION("""COMPUTED_VALUE"""),"Camilla")</f>
        <v>Camilla</v>
      </c>
      <c r="B20" s="14" t="str">
        <f ca="1">IFERROR(__xludf.DUMMYFUNCTION("""COMPUTED_VALUE"""),"home Hvidovre")</f>
        <v>home Hvidovre</v>
      </c>
      <c r="C20" s="14">
        <f ca="1">IFERROR(__xludf.DUMMYFUNCTION("""COMPUTED_VALUE"""),37041319)</f>
        <v>37041319</v>
      </c>
      <c r="D20" s="14" t="str">
        <f ca="1">IFERROR(__xludf.DUMMYFUNCTION("""COMPUTED_VALUE"""),"MG-SJ: 3.499,-")</f>
        <v>MG-SJ: 3.499,-</v>
      </c>
      <c r="E20" s="14">
        <f ca="1">IFERROR(__xludf.DUMMYFUNCTION("""COMPUTED_VALUE"""),1202)</f>
        <v>1202</v>
      </c>
      <c r="F20" s="14" t="str">
        <f ca="1">IFERROR(__xludf.DUMMYFUNCTION("""COMPUTED_VALUE"""),"Martin Porsmose")</f>
        <v>Martin Porsmose</v>
      </c>
      <c r="G20" s="14" t="str">
        <f ca="1">IFERROR(__xludf.DUMMYFUNCTION("""COMPUTED_VALUE"""),"pors@home.dk")</f>
        <v>pors@home.dk</v>
      </c>
      <c r="H20" s="14">
        <f ca="1">IFERROR(__xludf.DUMMYFUNCTION("""COMPUTED_VALUE"""),81407081)</f>
        <v>81407081</v>
      </c>
      <c r="I20" s="14" t="str">
        <f ca="1">IFERROR(__xludf.DUMMYFUNCTION("""COMPUTED_VALUE"""),"Hvidovrevej 406")</f>
        <v>Hvidovrevej 406</v>
      </c>
      <c r="J20" s="14">
        <f ca="1">IFERROR(__xludf.DUMMYFUNCTION("""COMPUTED_VALUE"""),2650)</f>
        <v>2650</v>
      </c>
      <c r="K20" s="14" t="str">
        <f ca="1">IFERROR(__xludf.DUMMYFUNCTION("""COMPUTED_VALUE"""),"Hvidovre")</f>
        <v>Hvidovre</v>
      </c>
      <c r="L20" s="14" t="str">
        <f ca="1">IFERROR(__xludf.DUMMYFUNCTION("""COMPUTED_VALUE"""),"Hvidovre")</f>
        <v>Hvidovre</v>
      </c>
      <c r="M20" s="14" t="str">
        <f ca="1">IFERROR(__xludf.DUMMYFUNCTION("""COMPUTED_VALUE"""),"Københavns omegn")</f>
        <v>Københavns omegn</v>
      </c>
      <c r="N20" s="14" t="str">
        <f ca="1">IFERROR(__xludf.DUMMYFUNCTION("""COMPUTED_VALUE"""),"Hovedstaden")</f>
        <v>Hovedstaden</v>
      </c>
      <c r="O20" s="14">
        <f ca="1">IFERROR(__xludf.DUMMYFUNCTION("""COMPUTED_VALUE"""),36771828)</f>
        <v>36771828</v>
      </c>
      <c r="P20" s="14" t="str">
        <f ca="1">IFERROR(__xludf.DUMMYFUNCTION("""COMPUTED_VALUE"""),"104@home.dk")</f>
        <v>104@home.dk</v>
      </c>
      <c r="Q20" s="15" t="str">
        <f ca="1">IFERROR(__xludf.DUMMYFUNCTION("""COMPUTED_VALUE"""),"https://www.boliga.dk/maegler/33")</f>
        <v>https://www.boliga.dk/maegler/33</v>
      </c>
      <c r="R20" s="14" t="str">
        <f ca="1">IFERROR(__xludf.DUMMYFUNCTION("""COMPUTED_VALUE"""),"-")</f>
        <v>-</v>
      </c>
      <c r="S20" s="14" t="str">
        <f ca="1">IFERROR(__xludf.DUMMYFUNCTION("""COMPUTED_VALUE"""),"-")</f>
        <v>-</v>
      </c>
      <c r="T20" s="14" t="str">
        <f ca="1">IFERROR(__xludf.DUMMYFUNCTION("""COMPUTED_VALUE"""),"-")</f>
        <v>-</v>
      </c>
      <c r="U20" s="14">
        <f ca="1">IFERROR(__xludf.DUMMYFUNCTION("""COMPUTED_VALUE"""),18)</f>
        <v>18</v>
      </c>
      <c r="V20" s="14" t="str">
        <f ca="1">IFERROR(__xludf.DUMMYFUNCTION("""COMPUTED_VALUE"""),"2605, 2500, 2650")</f>
        <v>2605, 2500, 2650</v>
      </c>
      <c r="W20" s="14">
        <f ca="1">IFERROR(__xludf.DUMMYFUNCTION("""COMPUTED_VALUE"""),24)</f>
        <v>24</v>
      </c>
      <c r="X20" s="14">
        <f ca="1">IFERROR(__xludf.DUMMYFUNCTION("""COMPUTED_VALUE"""),2650)</f>
        <v>2650</v>
      </c>
      <c r="Y20" s="14" t="str">
        <f ca="1">IFERROR(__xludf.DUMMYFUNCTION("""COMPUTED_VALUE"""),"ja")</f>
        <v>ja</v>
      </c>
      <c r="Z20" s="14"/>
      <c r="AA20" s="14"/>
      <c r="AB20" s="14" t="str">
        <f ca="1">IFERROR(__xludf.DUMMYFUNCTION("""COMPUTED_VALUE"""),"x")</f>
        <v>x</v>
      </c>
      <c r="AC20" s="14" t="str">
        <f ca="1">IFERROR(__xludf.DUMMYFUNCTION("""COMPUTED_VALUE"""),"x")</f>
        <v>x</v>
      </c>
    </row>
    <row r="21" spans="1:29" ht="12.5" x14ac:dyDescent="0.25">
      <c r="A21" s="14" t="str">
        <f ca="1">IFERROR(__xludf.DUMMYFUNCTION("""COMPUTED_VALUE"""),"Camilla")</f>
        <v>Camilla</v>
      </c>
      <c r="B21" s="14" t="str">
        <f ca="1">IFERROR(__xludf.DUMMYFUNCTION("""COMPUTED_VALUE"""),"home Rødovre")</f>
        <v>home Rødovre</v>
      </c>
      <c r="C21" s="14">
        <f ca="1">IFERROR(__xludf.DUMMYFUNCTION("""COMPUTED_VALUE"""),37041319)</f>
        <v>37041319</v>
      </c>
      <c r="D21" s="14" t="str">
        <f ca="1">IFERROR(__xludf.DUMMYFUNCTION("""COMPUTED_VALUE"""),"MG-SJ: 3.499,-")</f>
        <v>MG-SJ: 3.499,-</v>
      </c>
      <c r="E21" s="14">
        <f ca="1">IFERROR(__xludf.DUMMYFUNCTION("""COMPUTED_VALUE"""),1202)</f>
        <v>1202</v>
      </c>
      <c r="F21" s="14" t="str">
        <f ca="1">IFERROR(__xludf.DUMMYFUNCTION("""COMPUTED_VALUE"""),"Martin Porsmose")</f>
        <v>Martin Porsmose</v>
      </c>
      <c r="G21" s="14" t="str">
        <f ca="1">IFERROR(__xludf.DUMMYFUNCTION("""COMPUTED_VALUE"""),"pors@home.dk")</f>
        <v>pors@home.dk</v>
      </c>
      <c r="H21" s="14">
        <f ca="1">IFERROR(__xludf.DUMMYFUNCTION("""COMPUTED_VALUE"""),82407081)</f>
        <v>82407081</v>
      </c>
      <c r="I21" s="14" t="str">
        <f ca="1">IFERROR(__xludf.DUMMYFUNCTION("""COMPUTED_VALUE"""),"Tårnvej 2")</f>
        <v>Tårnvej 2</v>
      </c>
      <c r="J21" s="14">
        <f ca="1">IFERROR(__xludf.DUMMYFUNCTION("""COMPUTED_VALUE"""),2610)</f>
        <v>2610</v>
      </c>
      <c r="K21" s="14" t="str">
        <f ca="1">IFERROR(__xludf.DUMMYFUNCTION("""COMPUTED_VALUE"""),"Rødovre")</f>
        <v>Rødovre</v>
      </c>
      <c r="L21" s="14" t="str">
        <f ca="1">IFERROR(__xludf.DUMMYFUNCTION("""COMPUTED_VALUE"""),"Rødovre")</f>
        <v>Rødovre</v>
      </c>
      <c r="M21" s="14" t="str">
        <f ca="1">IFERROR(__xludf.DUMMYFUNCTION("""COMPUTED_VALUE"""),"Københavns omegn")</f>
        <v>Københavns omegn</v>
      </c>
      <c r="N21" s="14" t="str">
        <f ca="1">IFERROR(__xludf.DUMMYFUNCTION("""COMPUTED_VALUE"""),"Hovedstaden")</f>
        <v>Hovedstaden</v>
      </c>
      <c r="O21" s="14">
        <f ca="1">IFERROR(__xludf.DUMMYFUNCTION("""COMPUTED_VALUE"""),36701919)</f>
        <v>36701919</v>
      </c>
      <c r="P21" s="14" t="str">
        <f ca="1">IFERROR(__xludf.DUMMYFUNCTION("""COMPUTED_VALUE"""),"108@home.dk")</f>
        <v>108@home.dk</v>
      </c>
      <c r="Q21" s="15" t="str">
        <f ca="1">IFERROR(__xludf.DUMMYFUNCTION("""COMPUTED_VALUE"""),"https://www.boliga.dk/maegler/31")</f>
        <v>https://www.boliga.dk/maegler/31</v>
      </c>
      <c r="R21" s="14" t="str">
        <f ca="1">IFERROR(__xludf.DUMMYFUNCTION("""COMPUTED_VALUE"""),"-")</f>
        <v>-</v>
      </c>
      <c r="S21" s="14" t="str">
        <f ca="1">IFERROR(__xludf.DUMMYFUNCTION("""COMPUTED_VALUE"""),"-")</f>
        <v>-</v>
      </c>
      <c r="T21" s="14" t="str">
        <f ca="1">IFERROR(__xludf.DUMMYFUNCTION("""COMPUTED_VALUE"""),"-")</f>
        <v>-</v>
      </c>
      <c r="U21" s="14">
        <f ca="1">IFERROR(__xludf.DUMMYFUNCTION("""COMPUTED_VALUE"""),16)</f>
        <v>16</v>
      </c>
      <c r="V21" s="14" t="str">
        <f ca="1">IFERROR(__xludf.DUMMYFUNCTION("""COMPUTED_VALUE"""),"2610, 2600")</f>
        <v>2610, 2600</v>
      </c>
      <c r="W21" s="14">
        <f ca="1">IFERROR(__xludf.DUMMYFUNCTION("""COMPUTED_VALUE"""),28)</f>
        <v>28</v>
      </c>
      <c r="X21" s="14" t="str">
        <f ca="1">IFERROR(__xludf.DUMMYFUNCTION("""COMPUTED_VALUE"""),"2610, 2600, 1957, 2730")</f>
        <v>2610, 2600, 1957, 2730</v>
      </c>
      <c r="Y21" s="14" t="str">
        <f ca="1">IFERROR(__xludf.DUMMYFUNCTION("""COMPUTED_VALUE"""),"ja")</f>
        <v>ja</v>
      </c>
      <c r="Z21" s="14"/>
      <c r="AA21" s="14"/>
      <c r="AB21" s="14" t="str">
        <f ca="1">IFERROR(__xludf.DUMMYFUNCTION("""COMPUTED_VALUE"""),"x")</f>
        <v>x</v>
      </c>
      <c r="AC21" s="14" t="str">
        <f ca="1">IFERROR(__xludf.DUMMYFUNCTION("""COMPUTED_VALUE"""),"x")</f>
        <v>x</v>
      </c>
    </row>
    <row r="22" spans="1:29" ht="12.5" x14ac:dyDescent="0.25">
      <c r="A22" s="14" t="str">
        <f ca="1">IFERROR(__xludf.DUMMYFUNCTION("""COMPUTED_VALUE"""),"Camilla")</f>
        <v>Camilla</v>
      </c>
      <c r="B22" s="14" t="str">
        <f ca="1">IFERROR(__xludf.DUMMYFUNCTION("""COMPUTED_VALUE"""),"home Taastrup / Hedehusene")</f>
        <v>home Taastrup / Hedehusene</v>
      </c>
      <c r="C22" s="15">
        <f ca="1">IFERROR(__xludf.DUMMYFUNCTION("""COMPUTED_VALUE"""),40567399)</f>
        <v>40567399</v>
      </c>
      <c r="D22" s="14" t="str">
        <f ca="1">IFERROR(__xludf.DUMMYFUNCTION("""COMPUTED_VALUE"""),"MG-SJ: 3.499,-")</f>
        <v>MG-SJ: 3.499,-</v>
      </c>
      <c r="E22" s="14">
        <f ca="1">IFERROR(__xludf.DUMMYFUNCTION("""COMPUTED_VALUE"""),1202)</f>
        <v>1202</v>
      </c>
      <c r="F22" s="14" t="str">
        <f ca="1">IFERROR(__xludf.DUMMYFUNCTION("""COMPUTED_VALUE"""),"Morten Sørensen")</f>
        <v>Morten Sørensen</v>
      </c>
      <c r="G22" s="14" t="str">
        <f ca="1">IFERROR(__xludf.DUMMYFUNCTION("""COMPUTED_VALUE"""),"mosor@home.dk")</f>
        <v>mosor@home.dk</v>
      </c>
      <c r="H22" s="14">
        <f ca="1">IFERROR(__xludf.DUMMYFUNCTION("""COMPUTED_VALUE"""),28552235)</f>
        <v>28552235</v>
      </c>
      <c r="I22" s="14" t="str">
        <f ca="1">IFERROR(__xludf.DUMMYFUNCTION("""COMPUTED_VALUE"""),"Taastrup Hovedgade 105")</f>
        <v>Taastrup Hovedgade 105</v>
      </c>
      <c r="J22" s="14">
        <f ca="1">IFERROR(__xludf.DUMMYFUNCTION("""COMPUTED_VALUE"""),2630)</f>
        <v>2630</v>
      </c>
      <c r="K22" s="14" t="str">
        <f ca="1">IFERROR(__xludf.DUMMYFUNCTION("""COMPUTED_VALUE"""),"Taastrup")</f>
        <v>Taastrup</v>
      </c>
      <c r="L22" s="14" t="str">
        <f ca="1">IFERROR(__xludf.DUMMYFUNCTION("""COMPUTED_VALUE"""),"Høje-Taastrup")</f>
        <v>Høje-Taastrup</v>
      </c>
      <c r="M22" s="14" t="str">
        <f ca="1">IFERROR(__xludf.DUMMYFUNCTION("""COMPUTED_VALUE"""),"Københavns omegn")</f>
        <v>Københavns omegn</v>
      </c>
      <c r="N22" s="14" t="str">
        <f ca="1">IFERROR(__xludf.DUMMYFUNCTION("""COMPUTED_VALUE"""),"Hovedstaden")</f>
        <v>Hovedstaden</v>
      </c>
      <c r="O22" s="14">
        <f ca="1">IFERROR(__xludf.DUMMYFUNCTION("""COMPUTED_VALUE"""),43996260)</f>
        <v>43996260</v>
      </c>
      <c r="P22" s="14" t="str">
        <f ca="1">IFERROR(__xludf.DUMMYFUNCTION("""COMPUTED_VALUE"""),"133@home.dk")</f>
        <v>133@home.dk</v>
      </c>
      <c r="Q22" s="15" t="str">
        <f ca="1">IFERROR(__xludf.DUMMYFUNCTION("""COMPUTED_VALUE"""),"https://www.boliga.dk/maegler/599")</f>
        <v>https://www.boliga.dk/maegler/599</v>
      </c>
      <c r="R22" s="14" t="str">
        <f ca="1">IFERROR(__xludf.DUMMYFUNCTION("""COMPUTED_VALUE"""),"-")</f>
        <v>-</v>
      </c>
      <c r="S22" s="14" t="str">
        <f ca="1">IFERROR(__xludf.DUMMYFUNCTION("""COMPUTED_VALUE"""),"-")</f>
        <v>-</v>
      </c>
      <c r="T22" s="14" t="str">
        <f ca="1">IFERROR(__xludf.DUMMYFUNCTION("""COMPUTED_VALUE"""),"-")</f>
        <v>-</v>
      </c>
      <c r="U22" s="14">
        <f ca="1">IFERROR(__xludf.DUMMYFUNCTION("""COMPUTED_VALUE"""),20)</f>
        <v>20</v>
      </c>
      <c r="V22" s="14">
        <f ca="1">IFERROR(__xludf.DUMMYFUNCTION("""COMPUTED_VALUE"""),2630)</f>
        <v>2630</v>
      </c>
      <c r="W22" s="14">
        <f ca="1">IFERROR(__xludf.DUMMYFUNCTION("""COMPUTED_VALUE"""),24)</f>
        <v>24</v>
      </c>
      <c r="X22" s="14">
        <f ca="1">IFERROR(__xludf.DUMMYFUNCTION("""COMPUTED_VALUE"""),2630)</f>
        <v>2630</v>
      </c>
      <c r="Y22" s="14" t="str">
        <f ca="1">IFERROR(__xludf.DUMMYFUNCTION("""COMPUTED_VALUE"""),"ja")</f>
        <v>ja</v>
      </c>
      <c r="Z22" s="14"/>
      <c r="AA22" s="14"/>
      <c r="AB22" s="14" t="str">
        <f ca="1">IFERROR(__xludf.DUMMYFUNCTION("""COMPUTED_VALUE"""),"x")</f>
        <v>x</v>
      </c>
      <c r="AC22" s="14" t="str">
        <f ca="1">IFERROR(__xludf.DUMMYFUNCTION("""COMPUTED_VALUE"""),"x")</f>
        <v>x</v>
      </c>
    </row>
    <row r="23" spans="1:29" ht="12.5" x14ac:dyDescent="0.25">
      <c r="A23" s="14" t="str">
        <f ca="1">IFERROR(__xludf.DUMMYFUNCTION("""COMPUTED_VALUE"""),"Camilla")</f>
        <v>Camilla</v>
      </c>
      <c r="B23" s="14" t="str">
        <f ca="1">IFERROR(__xludf.DUMMYFUNCTION("""COMPUTED_VALUE"""),"home Vallensbæk")</f>
        <v>home Vallensbæk</v>
      </c>
      <c r="C23" s="14">
        <f ca="1">IFERROR(__xludf.DUMMYFUNCTION("""COMPUTED_VALUE"""),40538658)</f>
        <v>40538658</v>
      </c>
      <c r="D23" s="14" t="str">
        <f ca="1">IFERROR(__xludf.DUMMYFUNCTION("""COMPUTED_VALUE"""),"MG-SJ: 3.499,-")</f>
        <v>MG-SJ: 3.499,-</v>
      </c>
      <c r="E23" s="14">
        <f ca="1">IFERROR(__xludf.DUMMYFUNCTION("""COMPUTED_VALUE"""),1202)</f>
        <v>1202</v>
      </c>
      <c r="F23" s="14" t="str">
        <f ca="1">IFERROR(__xludf.DUMMYFUNCTION("""COMPUTED_VALUE"""),"Rasmus Mørch")</f>
        <v>Rasmus Mørch</v>
      </c>
      <c r="G23" s="14" t="str">
        <f ca="1">IFERROR(__xludf.DUMMYFUNCTION("""COMPUTED_VALUE"""),"ramh@home.dk")</f>
        <v>ramh@home.dk</v>
      </c>
      <c r="H23" s="14">
        <f ca="1">IFERROR(__xludf.DUMMYFUNCTION("""COMPUTED_VALUE"""),30807030)</f>
        <v>30807030</v>
      </c>
      <c r="I23" s="14" t="str">
        <f ca="1">IFERROR(__xludf.DUMMYFUNCTION("""COMPUTED_VALUE"""),"Vallensbæk Strandvej 294")</f>
        <v>Vallensbæk Strandvej 294</v>
      </c>
      <c r="J23" s="14">
        <f ca="1">IFERROR(__xludf.DUMMYFUNCTION("""COMPUTED_VALUE"""),2665)</f>
        <v>2665</v>
      </c>
      <c r="K23" s="14" t="str">
        <f ca="1">IFERROR(__xludf.DUMMYFUNCTION("""COMPUTED_VALUE"""),"Vallensbæk Str.")</f>
        <v>Vallensbæk Str.</v>
      </c>
      <c r="L23" s="14" t="str">
        <f ca="1">IFERROR(__xludf.DUMMYFUNCTION("""COMPUTED_VALUE"""),"Vallensbæk")</f>
        <v>Vallensbæk</v>
      </c>
      <c r="M23" s="14" t="str">
        <f ca="1">IFERROR(__xludf.DUMMYFUNCTION("""COMPUTED_VALUE"""),"Københavns omegn")</f>
        <v>Københavns omegn</v>
      </c>
      <c r="N23" s="14" t="str">
        <f ca="1">IFERROR(__xludf.DUMMYFUNCTION("""COMPUTED_VALUE"""),"Hovedstaden")</f>
        <v>Hovedstaden</v>
      </c>
      <c r="O23" s="14">
        <f ca="1">IFERROR(__xludf.DUMMYFUNCTION("""COMPUTED_VALUE"""),70500100)</f>
        <v>70500100</v>
      </c>
      <c r="P23" s="14" t="str">
        <f ca="1">IFERROR(__xludf.DUMMYFUNCTION("""COMPUTED_VALUE"""),"222@home.dk")</f>
        <v>222@home.dk</v>
      </c>
      <c r="Q23" s="15" t="str">
        <f ca="1">IFERROR(__xludf.DUMMYFUNCTION("""COMPUTED_VALUE"""),"https://www.boliga.dk/maegler/21")</f>
        <v>https://www.boliga.dk/maegler/21</v>
      </c>
      <c r="R23" s="14" t="str">
        <f ca="1">IFERROR(__xludf.DUMMYFUNCTION("""COMPUTED_VALUE"""),"-")</f>
        <v>-</v>
      </c>
      <c r="S23" s="14" t="str">
        <f ca="1">IFERROR(__xludf.DUMMYFUNCTION("""COMPUTED_VALUE"""),"-")</f>
        <v>-</v>
      </c>
      <c r="T23" s="14" t="str">
        <f ca="1">IFERROR(__xludf.DUMMYFUNCTION("""COMPUTED_VALUE"""),"-")</f>
        <v>-</v>
      </c>
      <c r="U23" s="14">
        <f ca="1">IFERROR(__xludf.DUMMYFUNCTION("""COMPUTED_VALUE"""),20)</f>
        <v>20</v>
      </c>
      <c r="V23" s="14" t="str">
        <f ca="1">IFERROR(__xludf.DUMMYFUNCTION("""COMPUTED_VALUE"""),"2660, 2600, 1916, 2635, 2665")</f>
        <v>2660, 2600, 1916, 2635, 2665</v>
      </c>
      <c r="W23" s="14">
        <f ca="1">IFERROR(__xludf.DUMMYFUNCTION("""COMPUTED_VALUE"""),41)</f>
        <v>41</v>
      </c>
      <c r="X23" s="14" t="str">
        <f ca="1">IFERROR(__xludf.DUMMYFUNCTION("""COMPUTED_VALUE"""),"2625, 2635, 2660, 2665")</f>
        <v>2625, 2635, 2660, 2665</v>
      </c>
      <c r="Y23" s="14" t="str">
        <f ca="1">IFERROR(__xludf.DUMMYFUNCTION("""COMPUTED_VALUE"""),"ja")</f>
        <v>ja</v>
      </c>
      <c r="Z23" s="14"/>
      <c r="AA23" s="14"/>
      <c r="AB23" s="14" t="str">
        <f ca="1">IFERROR(__xludf.DUMMYFUNCTION("""COMPUTED_VALUE"""),"x")</f>
        <v>x</v>
      </c>
      <c r="AC23" s="14" t="str">
        <f ca="1">IFERROR(__xludf.DUMMYFUNCTION("""COMPUTED_VALUE"""),"x")</f>
        <v>x</v>
      </c>
    </row>
    <row r="24" spans="1:29" ht="12.5" x14ac:dyDescent="0.25">
      <c r="A24" s="14" t="str">
        <f ca="1">IFERROR(__xludf.DUMMYFUNCTION("""COMPUTED_VALUE"""),"Camilla")</f>
        <v>Camilla</v>
      </c>
      <c r="B24" s="14" t="str">
        <f ca="1">IFERROR(__xludf.DUMMYFUNCTION("""COMPUTED_VALUE"""),"home Birkerød")</f>
        <v>home Birkerød</v>
      </c>
      <c r="C24" s="15">
        <f ca="1">IFERROR(__xludf.DUMMYFUNCTION("""COMPUTED_VALUE"""),36198540)</f>
        <v>36198540</v>
      </c>
      <c r="D24" s="14" t="str">
        <f ca="1">IFERROR(__xludf.DUMMYFUNCTION("""COMPUTED_VALUE"""),"MG-SJ: 3.499,-")</f>
        <v>MG-SJ: 3.499,-</v>
      </c>
      <c r="E24" s="14">
        <f ca="1">IFERROR(__xludf.DUMMYFUNCTION("""COMPUTED_VALUE"""),1202)</f>
        <v>1202</v>
      </c>
      <c r="F24" s="14" t="str">
        <f ca="1">IFERROR(__xludf.DUMMYFUNCTION("""COMPUTED_VALUE"""),"Andreas Rosenkilde")</f>
        <v>Andreas Rosenkilde</v>
      </c>
      <c r="G24" s="14" t="str">
        <f ca="1">IFERROR(__xludf.DUMMYFUNCTION("""COMPUTED_VALUE"""),"anro@home.dk")</f>
        <v>anro@home.dk</v>
      </c>
      <c r="H24" s="14">
        <f ca="1">IFERROR(__xludf.DUMMYFUNCTION("""COMPUTED_VALUE"""),21712200)</f>
        <v>21712200</v>
      </c>
      <c r="I24" s="14" t="str">
        <f ca="1">IFERROR(__xludf.DUMMYFUNCTION("""COMPUTED_VALUE"""),"Teglporten 18")</f>
        <v>Teglporten 18</v>
      </c>
      <c r="J24" s="14">
        <f ca="1">IFERROR(__xludf.DUMMYFUNCTION("""COMPUTED_VALUE"""),3460)</f>
        <v>3460</v>
      </c>
      <c r="K24" s="14" t="str">
        <f ca="1">IFERROR(__xludf.DUMMYFUNCTION("""COMPUTED_VALUE"""),"Birkerød")</f>
        <v>Birkerød</v>
      </c>
      <c r="L24" s="14" t="str">
        <f ca="1">IFERROR(__xludf.DUMMYFUNCTION("""COMPUTED_VALUE"""),"Rudersdal")</f>
        <v>Rudersdal</v>
      </c>
      <c r="M24" s="14" t="str">
        <f ca="1">IFERROR(__xludf.DUMMYFUNCTION("""COMPUTED_VALUE"""),"Nordsjælland")</f>
        <v>Nordsjælland</v>
      </c>
      <c r="N24" s="14" t="str">
        <f ca="1">IFERROR(__xludf.DUMMYFUNCTION("""COMPUTED_VALUE"""),"Hovedstaden")</f>
        <v>Hovedstaden</v>
      </c>
      <c r="O24" s="14">
        <f ca="1">IFERROR(__xludf.DUMMYFUNCTION("""COMPUTED_VALUE"""),49214921)</f>
        <v>49214921</v>
      </c>
      <c r="P24" s="14" t="str">
        <f ca="1">IFERROR(__xludf.DUMMYFUNCTION("""COMPUTED_VALUE"""),"107@home.dk")</f>
        <v>107@home.dk</v>
      </c>
      <c r="Q24" s="15" t="str">
        <f ca="1">IFERROR(__xludf.DUMMYFUNCTION("""COMPUTED_VALUE"""),"https://www.boliga.dk/maegler/151")</f>
        <v>https://www.boliga.dk/maegler/151</v>
      </c>
      <c r="R24" s="14" t="str">
        <f ca="1">IFERROR(__xludf.DUMMYFUNCTION("""COMPUTED_VALUE"""),"-")</f>
        <v>-</v>
      </c>
      <c r="S24" s="14" t="str">
        <f ca="1">IFERROR(__xludf.DUMMYFUNCTION("""COMPUTED_VALUE"""),"-")</f>
        <v>-</v>
      </c>
      <c r="T24" s="14" t="str">
        <f ca="1">IFERROR(__xludf.DUMMYFUNCTION("""COMPUTED_VALUE"""),"-")</f>
        <v>-</v>
      </c>
      <c r="U24" s="14">
        <f ca="1">IFERROR(__xludf.DUMMYFUNCTION("""COMPUTED_VALUE"""),15)</f>
        <v>15</v>
      </c>
      <c r="V24" s="14">
        <f ca="1">IFERROR(__xludf.DUMMYFUNCTION("""COMPUTED_VALUE"""),3460)</f>
        <v>3460</v>
      </c>
      <c r="W24" s="14">
        <f ca="1">IFERROR(__xludf.DUMMYFUNCTION("""COMPUTED_VALUE"""),10)</f>
        <v>10</v>
      </c>
      <c r="X24" s="14" t="str">
        <f ca="1">IFERROR(__xludf.DUMMYFUNCTION("""COMPUTED_VALUE"""),"3460, 2840")</f>
        <v>3460, 2840</v>
      </c>
      <c r="Y24" s="14" t="str">
        <f ca="1">IFERROR(__xludf.DUMMYFUNCTION("""COMPUTED_VALUE"""),"ja")</f>
        <v>ja</v>
      </c>
      <c r="Z24" s="14"/>
      <c r="AA24" s="14"/>
      <c r="AB24" s="14" t="str">
        <f ca="1">IFERROR(__xludf.DUMMYFUNCTION("""COMPUTED_VALUE"""),"x")</f>
        <v>x</v>
      </c>
      <c r="AC24" s="14" t="str">
        <f ca="1">IFERROR(__xludf.DUMMYFUNCTION("""COMPUTED_VALUE"""),"x")</f>
        <v>x</v>
      </c>
    </row>
    <row r="25" spans="1:29" ht="12.5" x14ac:dyDescent="0.25">
      <c r="A25" s="14" t="str">
        <f ca="1">IFERROR(__xludf.DUMMYFUNCTION("""COMPUTED_VALUE"""),"Camilla")</f>
        <v>Camilla</v>
      </c>
      <c r="B25" s="14" t="str">
        <f ca="1">IFERROR(__xludf.DUMMYFUNCTION("""COMPUTED_VALUE"""),"home Fredensborg")</f>
        <v>home Fredensborg</v>
      </c>
      <c r="C25" s="15">
        <f ca="1">IFERROR(__xludf.DUMMYFUNCTION("""COMPUTED_VALUE"""),36198540)</f>
        <v>36198540</v>
      </c>
      <c r="D25" s="14" t="str">
        <f ca="1">IFERROR(__xludf.DUMMYFUNCTION("""COMPUTED_VALUE"""),"MG-SJ: 3.499,-")</f>
        <v>MG-SJ: 3.499,-</v>
      </c>
      <c r="E25" s="14">
        <f ca="1">IFERROR(__xludf.DUMMYFUNCTION("""COMPUTED_VALUE"""),1202)</f>
        <v>1202</v>
      </c>
      <c r="F25" s="14" t="str">
        <f ca="1">IFERROR(__xludf.DUMMYFUNCTION("""COMPUTED_VALUE"""),"Andreas Rosenkilde")</f>
        <v>Andreas Rosenkilde</v>
      </c>
      <c r="G25" s="14" t="str">
        <f ca="1">IFERROR(__xludf.DUMMYFUNCTION("""COMPUTED_VALUE"""),"anro@home.dk")</f>
        <v>anro@home.dk</v>
      </c>
      <c r="H25" s="14">
        <f ca="1">IFERROR(__xludf.DUMMYFUNCTION("""COMPUTED_VALUE"""),21712200)</f>
        <v>21712200</v>
      </c>
      <c r="I25" s="14" t="str">
        <f ca="1">IFERROR(__xludf.DUMMYFUNCTION("""COMPUTED_VALUE"""),"Jernbanegade 16")</f>
        <v>Jernbanegade 16</v>
      </c>
      <c r="J25" s="14">
        <f ca="1">IFERROR(__xludf.DUMMYFUNCTION("""COMPUTED_VALUE"""),3480)</f>
        <v>3480</v>
      </c>
      <c r="K25" s="14" t="str">
        <f ca="1">IFERROR(__xludf.DUMMYFUNCTION("""COMPUTED_VALUE"""),"Fredensborg")</f>
        <v>Fredensborg</v>
      </c>
      <c r="L25" s="14" t="str">
        <f ca="1">IFERROR(__xludf.DUMMYFUNCTION("""COMPUTED_VALUE"""),"Fredensborg")</f>
        <v>Fredensborg</v>
      </c>
      <c r="M25" s="14" t="str">
        <f ca="1">IFERROR(__xludf.DUMMYFUNCTION("""COMPUTED_VALUE"""),"Nordsjælland")</f>
        <v>Nordsjælland</v>
      </c>
      <c r="N25" s="14" t="str">
        <f ca="1">IFERROR(__xludf.DUMMYFUNCTION("""COMPUTED_VALUE"""),"Hovedstaden")</f>
        <v>Hovedstaden</v>
      </c>
      <c r="O25" s="14">
        <f ca="1">IFERROR(__xludf.DUMMYFUNCTION("""COMPUTED_VALUE"""),49214921)</f>
        <v>49214921</v>
      </c>
      <c r="P25" s="14" t="str">
        <f ca="1">IFERROR(__xludf.DUMMYFUNCTION("""COMPUTED_VALUE"""),"183@home.dk")</f>
        <v>183@home.dk</v>
      </c>
      <c r="Q25" s="15" t="str">
        <f ca="1">IFERROR(__xludf.DUMMYFUNCTION("""COMPUTED_VALUE"""),"https://www.boliga.dk/maegler/25516")</f>
        <v>https://www.boliga.dk/maegler/25516</v>
      </c>
      <c r="R25" s="14" t="str">
        <f ca="1">IFERROR(__xludf.DUMMYFUNCTION("""COMPUTED_VALUE"""),"-")</f>
        <v>-</v>
      </c>
      <c r="S25" s="14" t="str">
        <f ca="1">IFERROR(__xludf.DUMMYFUNCTION("""COMPUTED_VALUE"""),"-")</f>
        <v>-</v>
      </c>
      <c r="T25" s="14" t="str">
        <f ca="1">IFERROR(__xludf.DUMMYFUNCTION("""COMPUTED_VALUE"""),"-")</f>
        <v>-</v>
      </c>
      <c r="U25" s="14">
        <f ca="1">IFERROR(__xludf.DUMMYFUNCTION("""COMPUTED_VALUE"""),10)</f>
        <v>10</v>
      </c>
      <c r="V25" s="14" t="str">
        <f ca="1">IFERROR(__xludf.DUMMYFUNCTION("""COMPUTED_VALUE"""),"2980, 3480, 3400")</f>
        <v>2980, 3480, 3400</v>
      </c>
      <c r="W25" s="14">
        <f ca="1">IFERROR(__xludf.DUMMYFUNCTION("""COMPUTED_VALUE"""),11)</f>
        <v>11</v>
      </c>
      <c r="X25" s="14" t="str">
        <f ca="1">IFERROR(__xludf.DUMMYFUNCTION("""COMPUTED_VALUE"""),"3050, 3080, 2980, 3480")</f>
        <v>3050, 3080, 2980, 3480</v>
      </c>
      <c r="Y25" s="14" t="str">
        <f ca="1">IFERROR(__xludf.DUMMYFUNCTION("""COMPUTED_VALUE"""),"ja")</f>
        <v>ja</v>
      </c>
      <c r="Z25" s="14"/>
      <c r="AA25" s="14"/>
      <c r="AB25" s="14" t="str">
        <f ca="1">IFERROR(__xludf.DUMMYFUNCTION("""COMPUTED_VALUE"""),"x")</f>
        <v>x</v>
      </c>
      <c r="AC25" s="14" t="str">
        <f ca="1">IFERROR(__xludf.DUMMYFUNCTION("""COMPUTED_VALUE"""),"x")</f>
        <v>x</v>
      </c>
    </row>
    <row r="26" spans="1:29" ht="12.5" x14ac:dyDescent="0.25">
      <c r="A26" s="14" t="str">
        <f ca="1">IFERROR(__xludf.DUMMYFUNCTION("""COMPUTED_VALUE"""),"Camilla")</f>
        <v>Camilla</v>
      </c>
      <c r="B26" s="14" t="str">
        <f ca="1">IFERROR(__xludf.DUMMYFUNCTION("""COMPUTED_VALUE"""),"home Frederikssund")</f>
        <v>home Frederikssund</v>
      </c>
      <c r="C26" s="15">
        <f ca="1">IFERROR(__xludf.DUMMYFUNCTION("""COMPUTED_VALUE"""),36472480)</f>
        <v>36472480</v>
      </c>
      <c r="D26" s="14" t="str">
        <f ca="1">IFERROR(__xludf.DUMMYFUNCTION("""COMPUTED_VALUE"""),"MG-SJ: 3.499,-")</f>
        <v>MG-SJ: 3.499,-</v>
      </c>
      <c r="E26" s="14">
        <f ca="1">IFERROR(__xludf.DUMMYFUNCTION("""COMPUTED_VALUE"""),1202)</f>
        <v>1202</v>
      </c>
      <c r="F26" s="14" t="str">
        <f ca="1">IFERROR(__xludf.DUMMYFUNCTION("""COMPUTED_VALUE"""),"Lars Wilkens ")</f>
        <v xml:space="preserve">Lars Wilkens </v>
      </c>
      <c r="G26" s="14" t="str">
        <f ca="1">IFERROR(__xludf.DUMMYFUNCTION("""COMPUTED_VALUE"""),"lawil@home.dk")</f>
        <v>lawil@home.dk</v>
      </c>
      <c r="H26" s="14">
        <f ca="1">IFERROR(__xludf.DUMMYFUNCTION("""COMPUTED_VALUE"""),22656506)</f>
        <v>22656506</v>
      </c>
      <c r="I26" s="14" t="str">
        <f ca="1">IFERROR(__xludf.DUMMYFUNCTION("""COMPUTED_VALUE"""),"Jernbanegade 7")</f>
        <v>Jernbanegade 7</v>
      </c>
      <c r="J26" s="14">
        <f ca="1">IFERROR(__xludf.DUMMYFUNCTION("""COMPUTED_VALUE"""),3600)</f>
        <v>3600</v>
      </c>
      <c r="K26" s="14" t="str">
        <f ca="1">IFERROR(__xludf.DUMMYFUNCTION("""COMPUTED_VALUE"""),"Frederikssund")</f>
        <v>Frederikssund</v>
      </c>
      <c r="L26" s="14" t="str">
        <f ca="1">IFERROR(__xludf.DUMMYFUNCTION("""COMPUTED_VALUE"""),"Frederikssund")</f>
        <v>Frederikssund</v>
      </c>
      <c r="M26" s="14" t="str">
        <f ca="1">IFERROR(__xludf.DUMMYFUNCTION("""COMPUTED_VALUE"""),"Nordsjælland")</f>
        <v>Nordsjælland</v>
      </c>
      <c r="N26" s="14" t="str">
        <f ca="1">IFERROR(__xludf.DUMMYFUNCTION("""COMPUTED_VALUE"""),"Hovedstaden")</f>
        <v>Hovedstaden</v>
      </c>
      <c r="O26" s="14">
        <f ca="1">IFERROR(__xludf.DUMMYFUNCTION("""COMPUTED_VALUE"""),70200020)</f>
        <v>70200020</v>
      </c>
      <c r="P26" s="14" t="str">
        <f ca="1">IFERROR(__xludf.DUMMYFUNCTION("""COMPUTED_VALUE"""),"152@home.dk")</f>
        <v>152@home.dk</v>
      </c>
      <c r="Q26" s="15" t="str">
        <f ca="1">IFERROR(__xludf.DUMMYFUNCTION("""COMPUTED_VALUE"""),"https://www.boliga.dk/maegler/462")</f>
        <v>https://www.boliga.dk/maegler/462</v>
      </c>
      <c r="R26" s="14" t="str">
        <f ca="1">IFERROR(__xludf.DUMMYFUNCTION("""COMPUTED_VALUE"""),"-")</f>
        <v>-</v>
      </c>
      <c r="S26" s="14" t="str">
        <f ca="1">IFERROR(__xludf.DUMMYFUNCTION("""COMPUTED_VALUE"""),"-")</f>
        <v>-</v>
      </c>
      <c r="T26" s="14" t="str">
        <f ca="1">IFERROR(__xludf.DUMMYFUNCTION("""COMPUTED_VALUE"""),"-")</f>
        <v>-</v>
      </c>
      <c r="U26" s="14">
        <f ca="1">IFERROR(__xludf.DUMMYFUNCTION("""COMPUTED_VALUE"""),29)</f>
        <v>29</v>
      </c>
      <c r="V26" s="14" t="str">
        <f ca="1">IFERROR(__xludf.DUMMYFUNCTION("""COMPUTED_VALUE"""),"3330, 3480, 3550, 3630, 3310, 3320, 3600")</f>
        <v>3330, 3480, 3550, 3630, 3310, 3320, 3600</v>
      </c>
      <c r="W26" s="14">
        <f ca="1">IFERROR(__xludf.DUMMYFUNCTION("""COMPUTED_VALUE"""),29)</f>
        <v>29</v>
      </c>
      <c r="X26" s="14" t="str">
        <f ca="1">IFERROR(__xludf.DUMMYFUNCTION("""COMPUTED_VALUE"""),"3630, 3550, 3400, 3310, 3500, 3320, 3600")</f>
        <v>3630, 3550, 3400, 3310, 3500, 3320, 3600</v>
      </c>
      <c r="Y26" s="14" t="str">
        <f ca="1">IFERROR(__xludf.DUMMYFUNCTION("""COMPUTED_VALUE"""),"ja")</f>
        <v>ja</v>
      </c>
      <c r="Z26" s="14"/>
      <c r="AA26" s="14"/>
      <c r="AB26" s="14" t="str">
        <f ca="1">IFERROR(__xludf.DUMMYFUNCTION("""COMPUTED_VALUE"""),"x")</f>
        <v>x</v>
      </c>
      <c r="AC26" s="14" t="str">
        <f ca="1">IFERROR(__xludf.DUMMYFUNCTION("""COMPUTED_VALUE"""),"x")</f>
        <v>x</v>
      </c>
    </row>
    <row r="27" spans="1:29" ht="12.5" x14ac:dyDescent="0.25">
      <c r="A27" s="14" t="str">
        <f ca="1">IFERROR(__xludf.DUMMYFUNCTION("""COMPUTED_VALUE"""),"Camilla")</f>
        <v>Camilla</v>
      </c>
      <c r="B27" s="14" t="str">
        <f ca="1">IFERROR(__xludf.DUMMYFUNCTION("""COMPUTED_VALUE"""),"home Frederiksværk")</f>
        <v>home Frederiksværk</v>
      </c>
      <c r="C27" s="15">
        <f ca="1">IFERROR(__xludf.DUMMYFUNCTION("""COMPUTED_VALUE"""),36472480)</f>
        <v>36472480</v>
      </c>
      <c r="D27" s="14" t="str">
        <f ca="1">IFERROR(__xludf.DUMMYFUNCTION("""COMPUTED_VALUE"""),"MG-SJ: 3.499,-")</f>
        <v>MG-SJ: 3.499,-</v>
      </c>
      <c r="E27" s="14">
        <f ca="1">IFERROR(__xludf.DUMMYFUNCTION("""COMPUTED_VALUE"""),1202)</f>
        <v>1202</v>
      </c>
      <c r="F27" s="14" t="str">
        <f ca="1">IFERROR(__xludf.DUMMYFUNCTION("""COMPUTED_VALUE"""),"Lars Wilkens ")</f>
        <v xml:space="preserve">Lars Wilkens </v>
      </c>
      <c r="G27" s="14" t="str">
        <f ca="1">IFERROR(__xludf.DUMMYFUNCTION("""COMPUTED_VALUE"""),"lawil@home.dk")</f>
        <v>lawil@home.dk</v>
      </c>
      <c r="H27" s="14">
        <f ca="1">IFERROR(__xludf.DUMMYFUNCTION("""COMPUTED_VALUE"""),22656506)</f>
        <v>22656506</v>
      </c>
      <c r="I27" s="14" t="str">
        <f ca="1">IFERROR(__xludf.DUMMYFUNCTION("""COMPUTED_VALUE"""),"Nørregade 9")</f>
        <v>Nørregade 9</v>
      </c>
      <c r="J27" s="14">
        <f ca="1">IFERROR(__xludf.DUMMYFUNCTION("""COMPUTED_VALUE"""),3300)</f>
        <v>3300</v>
      </c>
      <c r="K27" s="14" t="str">
        <f ca="1">IFERROR(__xludf.DUMMYFUNCTION("""COMPUTED_VALUE"""),"Frederiksværk")</f>
        <v>Frederiksværk</v>
      </c>
      <c r="L27" s="14" t="str">
        <f ca="1">IFERROR(__xludf.DUMMYFUNCTION("""COMPUTED_VALUE"""),"Halsnæs")</f>
        <v>Halsnæs</v>
      </c>
      <c r="M27" s="14" t="str">
        <f ca="1">IFERROR(__xludf.DUMMYFUNCTION("""COMPUTED_VALUE"""),"Nordsjælland")</f>
        <v>Nordsjælland</v>
      </c>
      <c r="N27" s="14" t="str">
        <f ca="1">IFERROR(__xludf.DUMMYFUNCTION("""COMPUTED_VALUE"""),"Hovedstaden")</f>
        <v>Hovedstaden</v>
      </c>
      <c r="O27" s="14">
        <f ca="1">IFERROR(__xludf.DUMMYFUNCTION("""COMPUTED_VALUE"""),88209280)</f>
        <v>88209280</v>
      </c>
      <c r="P27" s="14" t="str">
        <f ca="1">IFERROR(__xludf.DUMMYFUNCTION("""COMPUTED_VALUE"""),"115@home.dk")</f>
        <v>115@home.dk</v>
      </c>
      <c r="Q27" s="15" t="str">
        <f ca="1">IFERROR(__xludf.DUMMYFUNCTION("""COMPUTED_VALUE"""),"https://www.boliga.dk/maegler/175")</f>
        <v>https://www.boliga.dk/maegler/175</v>
      </c>
      <c r="R27" s="14" t="str">
        <f ca="1">IFERROR(__xludf.DUMMYFUNCTION("""COMPUTED_VALUE"""),"-")</f>
        <v>-</v>
      </c>
      <c r="S27" s="14" t="str">
        <f ca="1">IFERROR(__xludf.DUMMYFUNCTION("""COMPUTED_VALUE"""),"-")</f>
        <v>-</v>
      </c>
      <c r="T27" s="14" t="str">
        <f ca="1">IFERROR(__xludf.DUMMYFUNCTION("""COMPUTED_VALUE"""),"-")</f>
        <v>-</v>
      </c>
      <c r="U27" s="14">
        <f ca="1">IFERROR(__xludf.DUMMYFUNCTION("""COMPUTED_VALUE"""),38)</f>
        <v>38</v>
      </c>
      <c r="V27" s="14" t="str">
        <f ca="1">IFERROR(__xludf.DUMMYFUNCTION("""COMPUTED_VALUE"""),"3370, 3300, 3320, 3230, 3360, 3310")</f>
        <v>3370, 3300, 3320, 3230, 3360, 3310</v>
      </c>
      <c r="W27" s="14">
        <f ca="1">IFERROR(__xludf.DUMMYFUNCTION("""COMPUTED_VALUE"""),26)</f>
        <v>26</v>
      </c>
      <c r="X27" s="14" t="str">
        <f ca="1">IFERROR(__xludf.DUMMYFUNCTION("""COMPUTED_VALUE"""),"3370, 3300, 2650, 3310, 3400")</f>
        <v>3370, 3300, 2650, 3310, 3400</v>
      </c>
      <c r="Y27" s="14" t="str">
        <f ca="1">IFERROR(__xludf.DUMMYFUNCTION("""COMPUTED_VALUE"""),"ja")</f>
        <v>ja</v>
      </c>
      <c r="Z27" s="14"/>
      <c r="AA27" s="14"/>
      <c r="AB27" s="14" t="str">
        <f ca="1">IFERROR(__xludf.DUMMYFUNCTION("""COMPUTED_VALUE"""),"x")</f>
        <v>x</v>
      </c>
      <c r="AC27" s="14" t="str">
        <f ca="1">IFERROR(__xludf.DUMMYFUNCTION("""COMPUTED_VALUE"""),"x")</f>
        <v>x</v>
      </c>
    </row>
    <row r="28" spans="1:29" ht="12.5" x14ac:dyDescent="0.25">
      <c r="A28" s="14" t="str">
        <f ca="1">IFERROR(__xludf.DUMMYFUNCTION("""COMPUTED_VALUE"""),"Camilla")</f>
        <v>Camilla</v>
      </c>
      <c r="B28" s="14" t="str">
        <f ca="1">IFERROR(__xludf.DUMMYFUNCTION("""COMPUTED_VALUE"""),"home Helsingør")</f>
        <v>home Helsingør</v>
      </c>
      <c r="C28" s="15">
        <f ca="1">IFERROR(__xludf.DUMMYFUNCTION("""COMPUTED_VALUE"""),36198540)</f>
        <v>36198540</v>
      </c>
      <c r="D28" s="14" t="str">
        <f ca="1">IFERROR(__xludf.DUMMYFUNCTION("""COMPUTED_VALUE"""),"MG-SJ: 3.499,-")</f>
        <v>MG-SJ: 3.499,-</v>
      </c>
      <c r="E28" s="14">
        <f ca="1">IFERROR(__xludf.DUMMYFUNCTION("""COMPUTED_VALUE"""),1202)</f>
        <v>1202</v>
      </c>
      <c r="F28" s="14" t="str">
        <f ca="1">IFERROR(__xludf.DUMMYFUNCTION("""COMPUTED_VALUE"""),"Andreas Rosenkilde")</f>
        <v>Andreas Rosenkilde</v>
      </c>
      <c r="G28" s="14" t="str">
        <f ca="1">IFERROR(__xludf.DUMMYFUNCTION("""COMPUTED_VALUE"""),"anro@home.dk")</f>
        <v>anro@home.dk</v>
      </c>
      <c r="H28" s="14">
        <f ca="1">IFERROR(__xludf.DUMMYFUNCTION("""COMPUTED_VALUE"""),21712200)</f>
        <v>21712200</v>
      </c>
      <c r="I28" s="14" t="str">
        <f ca="1">IFERROR(__xludf.DUMMYFUNCTION("""COMPUTED_VALUE"""),"Kongensgade 8")</f>
        <v>Kongensgade 8</v>
      </c>
      <c r="J28" s="14">
        <f ca="1">IFERROR(__xludf.DUMMYFUNCTION("""COMPUTED_VALUE"""),3000)</f>
        <v>3000</v>
      </c>
      <c r="K28" s="14" t="str">
        <f ca="1">IFERROR(__xludf.DUMMYFUNCTION("""COMPUTED_VALUE"""),"Helsingør")</f>
        <v>Helsingør</v>
      </c>
      <c r="L28" s="14" t="str">
        <f ca="1">IFERROR(__xludf.DUMMYFUNCTION("""COMPUTED_VALUE"""),"Helsingør")</f>
        <v>Helsingør</v>
      </c>
      <c r="M28" s="14" t="str">
        <f ca="1">IFERROR(__xludf.DUMMYFUNCTION("""COMPUTED_VALUE"""),"Nordsjælland")</f>
        <v>Nordsjælland</v>
      </c>
      <c r="N28" s="14" t="str">
        <f ca="1">IFERROR(__xludf.DUMMYFUNCTION("""COMPUTED_VALUE"""),"Hovedstaden")</f>
        <v>Hovedstaden</v>
      </c>
      <c r="O28" s="14">
        <f ca="1">IFERROR(__xludf.DUMMYFUNCTION("""COMPUTED_VALUE"""),49214921)</f>
        <v>49214921</v>
      </c>
      <c r="P28" s="14" t="str">
        <f ca="1">IFERROR(__xludf.DUMMYFUNCTION("""COMPUTED_VALUE"""),"138@home.dk")</f>
        <v>138@home.dk</v>
      </c>
      <c r="Q28" s="15" t="str">
        <f ca="1">IFERROR(__xludf.DUMMYFUNCTION("""COMPUTED_VALUE"""),"https://www.boliga.dk/maegler/1085")</f>
        <v>https://www.boliga.dk/maegler/1085</v>
      </c>
      <c r="R28" s="14" t="str">
        <f ca="1">IFERROR(__xludf.DUMMYFUNCTION("""COMPUTED_VALUE"""),"-")</f>
        <v>-</v>
      </c>
      <c r="S28" s="14" t="str">
        <f ca="1">IFERROR(__xludf.DUMMYFUNCTION("""COMPUTED_VALUE"""),"-")</f>
        <v>-</v>
      </c>
      <c r="T28" s="14" t="str">
        <f ca="1">IFERROR(__xludf.DUMMYFUNCTION("""COMPUTED_VALUE"""),"-")</f>
        <v>-</v>
      </c>
      <c r="U28" s="14">
        <f ca="1">IFERROR(__xludf.DUMMYFUNCTION("""COMPUTED_VALUE"""),37)</f>
        <v>37</v>
      </c>
      <c r="V28" s="14" t="str">
        <f ca="1">IFERROR(__xludf.DUMMYFUNCTION("""COMPUTED_VALUE"""),"3070, 3000, 3080, 3100, 3140, 3490")</f>
        <v>3070, 3000, 3080, 3100, 3140, 3490</v>
      </c>
      <c r="W28" s="14">
        <f ca="1">IFERROR(__xludf.DUMMYFUNCTION("""COMPUTED_VALUE"""),43)</f>
        <v>43</v>
      </c>
      <c r="X28" s="14" t="str">
        <f ca="1">IFERROR(__xludf.DUMMYFUNCTION("""COMPUTED_VALUE"""),"3070, 3060, 3080, 3000, 3140, 3050")</f>
        <v>3070, 3060, 3080, 3000, 3140, 3050</v>
      </c>
      <c r="Y28" s="14" t="str">
        <f ca="1">IFERROR(__xludf.DUMMYFUNCTION("""COMPUTED_VALUE"""),"ja")</f>
        <v>ja</v>
      </c>
      <c r="Z28" s="14"/>
      <c r="AA28" s="14"/>
      <c r="AB28" s="14" t="str">
        <f ca="1">IFERROR(__xludf.DUMMYFUNCTION("""COMPUTED_VALUE"""),"x")</f>
        <v>x</v>
      </c>
      <c r="AC28" s="14" t="str">
        <f ca="1">IFERROR(__xludf.DUMMYFUNCTION("""COMPUTED_VALUE"""),"x")</f>
        <v>x</v>
      </c>
    </row>
    <row r="29" spans="1:29" ht="12.5" x14ac:dyDescent="0.25">
      <c r="A29" s="14" t="str">
        <f ca="1">IFERROR(__xludf.DUMMYFUNCTION("""COMPUTED_VALUE"""),"Camilla")</f>
        <v>Camilla</v>
      </c>
      <c r="B29" s="14" t="str">
        <f ca="1">IFERROR(__xludf.DUMMYFUNCTION("""COMPUTED_VALUE"""),"home Hillerød")</f>
        <v>home Hillerød</v>
      </c>
      <c r="C29" s="14">
        <f ca="1">IFERROR(__xludf.DUMMYFUNCTION("""COMPUTED_VALUE"""),20763892)</f>
        <v>20763892</v>
      </c>
      <c r="D29" s="14" t="str">
        <f ca="1">IFERROR(__xludf.DUMMYFUNCTION("""COMPUTED_VALUE"""),"MG-SJ: 3.499,-")</f>
        <v>MG-SJ: 3.499,-</v>
      </c>
      <c r="E29" s="14">
        <f ca="1">IFERROR(__xludf.DUMMYFUNCTION("""COMPUTED_VALUE"""),1202)</f>
        <v>1202</v>
      </c>
      <c r="F29" s="14" t="str">
        <f ca="1">IFERROR(__xludf.DUMMYFUNCTION("""COMPUTED_VALUE"""),"Anders Holm")</f>
        <v>Anders Holm</v>
      </c>
      <c r="G29" s="14" t="str">
        <f ca="1">IFERROR(__xludf.DUMMYFUNCTION("""COMPUTED_VALUE"""),"aholm@home.dk")</f>
        <v>aholm@home.dk</v>
      </c>
      <c r="H29" s="14">
        <f ca="1">IFERROR(__xludf.DUMMYFUNCTION("""COMPUTED_VALUE"""),42120222)</f>
        <v>42120222</v>
      </c>
      <c r="I29" s="14" t="str">
        <f ca="1">IFERROR(__xludf.DUMMYFUNCTION("""COMPUTED_VALUE"""),"Nordstensvej 9")</f>
        <v>Nordstensvej 9</v>
      </c>
      <c r="J29" s="14">
        <f ca="1">IFERROR(__xludf.DUMMYFUNCTION("""COMPUTED_VALUE"""),3400)</f>
        <v>3400</v>
      </c>
      <c r="K29" s="14" t="str">
        <f ca="1">IFERROR(__xludf.DUMMYFUNCTION("""COMPUTED_VALUE"""),"Hillerød")</f>
        <v>Hillerød</v>
      </c>
      <c r="L29" s="14" t="str">
        <f ca="1">IFERROR(__xludf.DUMMYFUNCTION("""COMPUTED_VALUE"""),"Hillerød")</f>
        <v>Hillerød</v>
      </c>
      <c r="M29" s="14" t="str">
        <f ca="1">IFERROR(__xludf.DUMMYFUNCTION("""COMPUTED_VALUE"""),"Nordsjælland")</f>
        <v>Nordsjælland</v>
      </c>
      <c r="N29" s="14" t="str">
        <f ca="1">IFERROR(__xludf.DUMMYFUNCTION("""COMPUTED_VALUE"""),"Hovedstaden")</f>
        <v>Hovedstaden</v>
      </c>
      <c r="O29" s="14">
        <f ca="1">IFERROR(__xludf.DUMMYFUNCTION("""COMPUTED_VALUE"""),88209330)</f>
        <v>88209330</v>
      </c>
      <c r="P29" s="14" t="str">
        <f ca="1">IFERROR(__xludf.DUMMYFUNCTION("""COMPUTED_VALUE"""),"151@home.dk")</f>
        <v>151@home.dk</v>
      </c>
      <c r="Q29" s="15" t="str">
        <f ca="1">IFERROR(__xludf.DUMMYFUNCTION("""COMPUTED_VALUE"""),"https://www.boliga.dk/maegler/145")</f>
        <v>https://www.boliga.dk/maegler/145</v>
      </c>
      <c r="R29" s="14" t="str">
        <f ca="1">IFERROR(__xludf.DUMMYFUNCTION("""COMPUTED_VALUE"""),"-")</f>
        <v>-</v>
      </c>
      <c r="S29" s="14" t="str">
        <f ca="1">IFERROR(__xludf.DUMMYFUNCTION("""COMPUTED_VALUE"""),"-")</f>
        <v>-</v>
      </c>
      <c r="T29" s="14" t="str">
        <f ca="1">IFERROR(__xludf.DUMMYFUNCTION("""COMPUTED_VALUE"""),"-")</f>
        <v>-</v>
      </c>
      <c r="U29" s="14">
        <f ca="1">IFERROR(__xludf.DUMMYFUNCTION("""COMPUTED_VALUE"""),20)</f>
        <v>20</v>
      </c>
      <c r="V29" s="14" t="str">
        <f ca="1">IFERROR(__xludf.DUMMYFUNCTION("""COMPUTED_VALUE"""),"3600, 3000, 2990, 3300, 3480, 3320, 3310, 3400")</f>
        <v>3600, 3000, 2990, 3300, 3480, 3320, 3310, 3400</v>
      </c>
      <c r="W29" s="14">
        <f ca="1">IFERROR(__xludf.DUMMYFUNCTION("""COMPUTED_VALUE"""),12)</f>
        <v>12</v>
      </c>
      <c r="X29" s="14" t="str">
        <f ca="1">IFERROR(__xludf.DUMMYFUNCTION("""COMPUTED_VALUE"""),"2990, 3400, 3480, 3320")</f>
        <v>2990, 3400, 3480, 3320</v>
      </c>
      <c r="Y29" s="14" t="str">
        <f ca="1">IFERROR(__xludf.DUMMYFUNCTION("""COMPUTED_VALUE"""),"ja")</f>
        <v>ja</v>
      </c>
      <c r="Z29" s="14"/>
      <c r="AA29" s="14"/>
      <c r="AB29" s="14" t="str">
        <f ca="1">IFERROR(__xludf.DUMMYFUNCTION("""COMPUTED_VALUE"""),"x")</f>
        <v>x</v>
      </c>
      <c r="AC29" s="14" t="str">
        <f ca="1">IFERROR(__xludf.DUMMYFUNCTION("""COMPUTED_VALUE"""),"x")</f>
        <v>x</v>
      </c>
    </row>
    <row r="30" spans="1:29" ht="12.5" x14ac:dyDescent="0.25">
      <c r="A30" s="14"/>
      <c r="B30" s="14" t="str">
        <f ca="1">IFERROR(__xludf.DUMMYFUNCTION("""COMPUTED_VALUE"""),"Home Lyngby ")</f>
        <v xml:space="preserve">Home Lyngby </v>
      </c>
      <c r="C30" s="14">
        <f ca="1">IFERROR(__xludf.DUMMYFUNCTION("""COMPUTED_VALUE"""),20763892)</f>
        <v>20763892</v>
      </c>
      <c r="D30" s="14" t="str">
        <f ca="1">IFERROR(__xludf.DUMMYFUNCTION("""COMPUTED_VALUE"""),"MG-SJ: 3.499,-")</f>
        <v>MG-SJ: 3.499,-</v>
      </c>
      <c r="E30" s="14">
        <f ca="1">IFERROR(__xludf.DUMMYFUNCTION("""COMPUTED_VALUE"""),1202)</f>
        <v>1202</v>
      </c>
      <c r="F30" s="14" t="str">
        <f ca="1">IFERROR(__xludf.DUMMYFUNCTION("""COMPUTED_VALUE"""),"Anders Holm")</f>
        <v>Anders Holm</v>
      </c>
      <c r="G30" s="14" t="str">
        <f ca="1">IFERROR(__xludf.DUMMYFUNCTION("""COMPUTED_VALUE"""),"aholm@home.dk")</f>
        <v>aholm@home.dk</v>
      </c>
      <c r="H30" s="14">
        <f ca="1">IFERROR(__xludf.DUMMYFUNCTION("""COMPUTED_VALUE"""),42130222)</f>
        <v>42130222</v>
      </c>
      <c r="I30" s="14"/>
      <c r="J30" s="14"/>
      <c r="K30" s="14"/>
      <c r="L30" s="14"/>
      <c r="M30" s="14"/>
      <c r="N30" s="14"/>
      <c r="O30" s="14"/>
      <c r="P30" s="14"/>
      <c r="Q30" s="15" t="str">
        <f ca="1">IFERROR(__xludf.DUMMYFUNCTION("""COMPUTED_VALUE"""),"https://www.boliga.dk/maegler/902")</f>
        <v>https://www.boliga.dk/maegler/902</v>
      </c>
      <c r="R30" s="14"/>
      <c r="S30" s="14"/>
      <c r="T30" s="14"/>
      <c r="U30" s="14"/>
      <c r="V30" s="14"/>
      <c r="W30" s="14"/>
      <c r="X30" s="14"/>
      <c r="Y30" s="14" t="str">
        <f ca="1">IFERROR(__xludf.DUMMYFUNCTION("""COMPUTED_VALUE"""),"ja")</f>
        <v>ja</v>
      </c>
      <c r="Z30" s="14"/>
      <c r="AA30" s="14"/>
      <c r="AB30" s="14" t="str">
        <f ca="1">IFERROR(__xludf.DUMMYFUNCTION("""COMPUTED_VALUE"""),"x")</f>
        <v>x</v>
      </c>
      <c r="AC30" s="14" t="str">
        <f ca="1">IFERROR(__xludf.DUMMYFUNCTION("""COMPUTED_VALUE"""),"x")</f>
        <v>x</v>
      </c>
    </row>
    <row r="31" spans="1:29" ht="12.5" x14ac:dyDescent="0.25">
      <c r="A31" s="14"/>
      <c r="B31" s="14" t="str">
        <f ca="1">IFERROR(__xludf.DUMMYFUNCTION("""COMPUTED_VALUE"""),"home Virum")</f>
        <v>home Virum</v>
      </c>
      <c r="C31" s="14">
        <f ca="1">IFERROR(__xludf.DUMMYFUNCTION("""COMPUTED_VALUE"""),20763892)</f>
        <v>20763892</v>
      </c>
      <c r="D31" s="14" t="str">
        <f ca="1">IFERROR(__xludf.DUMMYFUNCTION("""COMPUTED_VALUE"""),"MG-SJ: 3.499,-")</f>
        <v>MG-SJ: 3.499,-</v>
      </c>
      <c r="E31" s="14">
        <f ca="1">IFERROR(__xludf.DUMMYFUNCTION("""COMPUTED_VALUE"""),1202)</f>
        <v>1202</v>
      </c>
      <c r="F31" s="14" t="str">
        <f ca="1">IFERROR(__xludf.DUMMYFUNCTION("""COMPUTED_VALUE"""),"Anders Holm")</f>
        <v>Anders Holm</v>
      </c>
      <c r="G31" s="14" t="str">
        <f ca="1">IFERROR(__xludf.DUMMYFUNCTION("""COMPUTED_VALUE"""),"aholm@home.dk")</f>
        <v>aholm@home.dk</v>
      </c>
      <c r="H31" s="14">
        <f ca="1">IFERROR(__xludf.DUMMYFUNCTION("""COMPUTED_VALUE"""),42140222)</f>
        <v>42140222</v>
      </c>
      <c r="I31" s="14"/>
      <c r="J31" s="14"/>
      <c r="K31" s="14"/>
      <c r="L31" s="14"/>
      <c r="M31" s="14"/>
      <c r="N31" s="14"/>
      <c r="O31" s="14"/>
      <c r="P31" s="14"/>
      <c r="Q31" s="15" t="str">
        <f ca="1">IFERROR(__xludf.DUMMYFUNCTION("""COMPUTED_VALUE"""),"https://www.boliga.dk/maegler/18600")</f>
        <v>https://www.boliga.dk/maegler/18600</v>
      </c>
      <c r="R31" s="14"/>
      <c r="S31" s="14"/>
      <c r="T31" s="14"/>
      <c r="U31" s="14"/>
      <c r="V31" s="14"/>
      <c r="W31" s="14"/>
      <c r="X31" s="14"/>
      <c r="Y31" s="14" t="str">
        <f ca="1">IFERROR(__xludf.DUMMYFUNCTION("""COMPUTED_VALUE"""),"ja")</f>
        <v>ja</v>
      </c>
      <c r="Z31" s="14"/>
      <c r="AA31" s="14"/>
      <c r="AB31" s="14" t="str">
        <f ca="1">IFERROR(__xludf.DUMMYFUNCTION("""COMPUTED_VALUE"""),"x")</f>
        <v>x</v>
      </c>
      <c r="AC31" s="14" t="str">
        <f ca="1">IFERROR(__xludf.DUMMYFUNCTION("""COMPUTED_VALUE"""),"x")</f>
        <v>x</v>
      </c>
    </row>
    <row r="32" spans="1:29" ht="12.5" x14ac:dyDescent="0.25">
      <c r="A32" s="14"/>
      <c r="B32" s="14" t="str">
        <f ca="1">IFERROR(__xludf.DUMMYFUNCTION("""COMPUTED_VALUE"""),"Home Søborg / Dyssegaard")</f>
        <v>Home Søborg / Dyssegaard</v>
      </c>
      <c r="C32" s="14">
        <f ca="1">IFERROR(__xludf.DUMMYFUNCTION("""COMPUTED_VALUE"""),20763892)</f>
        <v>20763892</v>
      </c>
      <c r="D32" s="14" t="str">
        <f ca="1">IFERROR(__xludf.DUMMYFUNCTION("""COMPUTED_VALUE"""),"MG-SJ: 3.499,-")</f>
        <v>MG-SJ: 3.499,-</v>
      </c>
      <c r="E32" s="14">
        <f ca="1">IFERROR(__xludf.DUMMYFUNCTION("""COMPUTED_VALUE"""),1202)</f>
        <v>1202</v>
      </c>
      <c r="F32" s="14" t="str">
        <f ca="1">IFERROR(__xludf.DUMMYFUNCTION("""COMPUTED_VALUE"""),"Anders Holm")</f>
        <v>Anders Holm</v>
      </c>
      <c r="G32" s="14" t="str">
        <f ca="1">IFERROR(__xludf.DUMMYFUNCTION("""COMPUTED_VALUE"""),"aholm@home.dk")</f>
        <v>aholm@home.dk</v>
      </c>
      <c r="H32" s="14">
        <f ca="1">IFERROR(__xludf.DUMMYFUNCTION("""COMPUTED_VALUE"""),42150222)</f>
        <v>42150222</v>
      </c>
      <c r="I32" s="14"/>
      <c r="J32" s="14"/>
      <c r="K32" s="14"/>
      <c r="L32" s="14"/>
      <c r="M32" s="14"/>
      <c r="N32" s="14"/>
      <c r="O32" s="14"/>
      <c r="P32" s="14"/>
      <c r="Q32" s="15" t="str">
        <f ca="1">IFERROR(__xludf.DUMMYFUNCTION("""COMPUTED_VALUE"""),"https://www.boliga.dk/maegler/344")</f>
        <v>https://www.boliga.dk/maegler/344</v>
      </c>
      <c r="R32" s="14"/>
      <c r="S32" s="14"/>
      <c r="T32" s="14"/>
      <c r="U32" s="14"/>
      <c r="V32" s="14"/>
      <c r="W32" s="14"/>
      <c r="X32" s="14"/>
      <c r="Y32" s="14" t="str">
        <f ca="1">IFERROR(__xludf.DUMMYFUNCTION("""COMPUTED_VALUE"""),"ja")</f>
        <v>ja</v>
      </c>
      <c r="Z32" s="14"/>
      <c r="AA32" s="14"/>
      <c r="AB32" s="14" t="str">
        <f ca="1">IFERROR(__xludf.DUMMYFUNCTION("""COMPUTED_VALUE"""),"x")</f>
        <v>x</v>
      </c>
      <c r="AC32" s="14" t="str">
        <f ca="1">IFERROR(__xludf.DUMMYFUNCTION("""COMPUTED_VALUE"""),"x")</f>
        <v>x</v>
      </c>
    </row>
    <row r="33" spans="1:29" ht="12.5" x14ac:dyDescent="0.25">
      <c r="A33" s="14" t="str">
        <f ca="1">IFERROR(__xludf.DUMMYFUNCTION("""COMPUTED_VALUE"""),"Camilla")</f>
        <v>Camilla</v>
      </c>
      <c r="B33" s="14" t="str">
        <f ca="1">IFERROR(__xludf.DUMMYFUNCTION("""COMPUTED_VALUE"""),"home Holte")</f>
        <v>home Holte</v>
      </c>
      <c r="C33" s="14">
        <f ca="1">IFERROR(__xludf.DUMMYFUNCTION("""COMPUTED_VALUE"""),20763892)</f>
        <v>20763892</v>
      </c>
      <c r="D33" s="14" t="str">
        <f ca="1">IFERROR(__xludf.DUMMYFUNCTION("""COMPUTED_VALUE"""),"MG-SJ: 3.499,-")</f>
        <v>MG-SJ: 3.499,-</v>
      </c>
      <c r="E33" s="14">
        <f ca="1">IFERROR(__xludf.DUMMYFUNCTION("""COMPUTED_VALUE"""),1202)</f>
        <v>1202</v>
      </c>
      <c r="F33" s="14" t="str">
        <f ca="1">IFERROR(__xludf.DUMMYFUNCTION("""COMPUTED_VALUE"""),"Anders Holm")</f>
        <v>Anders Holm</v>
      </c>
      <c r="G33" s="14" t="str">
        <f ca="1">IFERROR(__xludf.DUMMYFUNCTION("""COMPUTED_VALUE"""),"aholm@home.dk")</f>
        <v>aholm@home.dk</v>
      </c>
      <c r="H33" s="14">
        <f ca="1">IFERROR(__xludf.DUMMYFUNCTION("""COMPUTED_VALUE"""),42160222)</f>
        <v>42160222</v>
      </c>
      <c r="I33" s="14" t="str">
        <f ca="1">IFERROR(__xludf.DUMMYFUNCTION("""COMPUTED_VALUE"""),"Øverødvej 3B")</f>
        <v>Øverødvej 3B</v>
      </c>
      <c r="J33" s="14">
        <f ca="1">IFERROR(__xludf.DUMMYFUNCTION("""COMPUTED_VALUE"""),2840)</f>
        <v>2840</v>
      </c>
      <c r="K33" s="14" t="str">
        <f ca="1">IFERROR(__xludf.DUMMYFUNCTION("""COMPUTED_VALUE"""),"Holte")</f>
        <v>Holte</v>
      </c>
      <c r="L33" s="14" t="str">
        <f ca="1">IFERROR(__xludf.DUMMYFUNCTION("""COMPUTED_VALUE"""),"Rudersdal")</f>
        <v>Rudersdal</v>
      </c>
      <c r="M33" s="14" t="str">
        <f ca="1">IFERROR(__xludf.DUMMYFUNCTION("""COMPUTED_VALUE"""),"Nordsjælland")</f>
        <v>Nordsjælland</v>
      </c>
      <c r="N33" s="14" t="str">
        <f ca="1">IFERROR(__xludf.DUMMYFUNCTION("""COMPUTED_VALUE"""),"Hovedstaden")</f>
        <v>Hovedstaden</v>
      </c>
      <c r="O33" s="14">
        <f ca="1">IFERROR(__xludf.DUMMYFUNCTION("""COMPUTED_VALUE"""),45410144)</f>
        <v>45410144</v>
      </c>
      <c r="P33" s="14" t="str">
        <f ca="1">IFERROR(__xludf.DUMMYFUNCTION("""COMPUTED_VALUE"""),"154@home.dk")</f>
        <v>154@home.dk</v>
      </c>
      <c r="Q33" s="15" t="str">
        <f ca="1">IFERROR(__xludf.DUMMYFUNCTION("""COMPUTED_VALUE"""),"https://www.boliga.dk/maegler/147")</f>
        <v>https://www.boliga.dk/maegler/147</v>
      </c>
      <c r="R33" s="14" t="str">
        <f ca="1">IFERROR(__xludf.DUMMYFUNCTION("""COMPUTED_VALUE"""),"-")</f>
        <v>-</v>
      </c>
      <c r="S33" s="14" t="str">
        <f ca="1">IFERROR(__xludf.DUMMYFUNCTION("""COMPUTED_VALUE"""),"-")</f>
        <v>-</v>
      </c>
      <c r="T33" s="14" t="str">
        <f ca="1">IFERROR(__xludf.DUMMYFUNCTION("""COMPUTED_VALUE"""),"-")</f>
        <v>-</v>
      </c>
      <c r="U33" s="14">
        <f ca="1">IFERROR(__xludf.DUMMYFUNCTION("""COMPUTED_VALUE"""),8)</f>
        <v>8</v>
      </c>
      <c r="V33" s="14" t="str">
        <f ca="1">IFERROR(__xludf.DUMMYFUNCTION("""COMPUTED_VALUE"""),"2840, 2950, 2942")</f>
        <v>2840, 2950, 2942</v>
      </c>
      <c r="W33" s="14">
        <f ca="1">IFERROR(__xludf.DUMMYFUNCTION("""COMPUTED_VALUE"""),19)</f>
        <v>19</v>
      </c>
      <c r="X33" s="14" t="str">
        <f ca="1">IFERROR(__xludf.DUMMYFUNCTION("""COMPUTED_VALUE"""),"2840, 2942, 2850")</f>
        <v>2840, 2942, 2850</v>
      </c>
      <c r="Y33" s="14" t="str">
        <f ca="1">IFERROR(__xludf.DUMMYFUNCTION("""COMPUTED_VALUE"""),"ja")</f>
        <v>ja</v>
      </c>
      <c r="Z33" s="14"/>
      <c r="AA33" s="14"/>
      <c r="AB33" s="14" t="str">
        <f ca="1">IFERROR(__xludf.DUMMYFUNCTION("""COMPUTED_VALUE"""),"x")</f>
        <v>x</v>
      </c>
      <c r="AC33" s="14" t="str">
        <f ca="1">IFERROR(__xludf.DUMMYFUNCTION("""COMPUTED_VALUE"""),"x")</f>
        <v>x</v>
      </c>
    </row>
    <row r="34" spans="1:29" ht="12.5" x14ac:dyDescent="0.25">
      <c r="A34" s="14" t="str">
        <f ca="1">IFERROR(__xludf.DUMMYFUNCTION("""COMPUTED_VALUE"""),"Camilla")</f>
        <v>Camilla</v>
      </c>
      <c r="B34" s="14" t="str">
        <f ca="1">IFERROR(__xludf.DUMMYFUNCTION("""COMPUTED_VALUE"""),"home Hundested")</f>
        <v>home Hundested</v>
      </c>
      <c r="C34" s="15">
        <f ca="1">IFERROR(__xludf.DUMMYFUNCTION("""COMPUTED_VALUE"""),36472480)</f>
        <v>36472480</v>
      </c>
      <c r="D34" s="14" t="str">
        <f ca="1">IFERROR(__xludf.DUMMYFUNCTION("""COMPUTED_VALUE"""),"MG-SJ: 3.499,-")</f>
        <v>MG-SJ: 3.499,-</v>
      </c>
      <c r="E34" s="14">
        <f ca="1">IFERROR(__xludf.DUMMYFUNCTION("""COMPUTED_VALUE"""),1202)</f>
        <v>1202</v>
      </c>
      <c r="F34" s="14" t="str">
        <f ca="1">IFERROR(__xludf.DUMMYFUNCTION("""COMPUTED_VALUE"""),"Lars Wilkens")</f>
        <v>Lars Wilkens</v>
      </c>
      <c r="G34" s="14" t="str">
        <f ca="1">IFERROR(__xludf.DUMMYFUNCTION("""COMPUTED_VALUE"""),"lawil@home.dk /ulbl@home.dk")</f>
        <v>lawil@home.dk /ulbl@home.dk</v>
      </c>
      <c r="H34" s="14">
        <f ca="1">IFERROR(__xludf.DUMMYFUNCTION("""COMPUTED_VALUE"""),22656506)</f>
        <v>22656506</v>
      </c>
      <c r="I34" s="14" t="str">
        <f ca="1">IFERROR(__xludf.DUMMYFUNCTION("""COMPUTED_VALUE"""),"Nørregade 37C")</f>
        <v>Nørregade 37C</v>
      </c>
      <c r="J34" s="14">
        <f ca="1">IFERROR(__xludf.DUMMYFUNCTION("""COMPUTED_VALUE"""),3390)</f>
        <v>3390</v>
      </c>
      <c r="K34" s="14" t="str">
        <f ca="1">IFERROR(__xludf.DUMMYFUNCTION("""COMPUTED_VALUE"""),"Hundested")</f>
        <v>Hundested</v>
      </c>
      <c r="L34" s="14" t="str">
        <f ca="1">IFERROR(__xludf.DUMMYFUNCTION("""COMPUTED_VALUE"""),"Halsnæs")</f>
        <v>Halsnæs</v>
      </c>
      <c r="M34" s="14" t="str">
        <f ca="1">IFERROR(__xludf.DUMMYFUNCTION("""COMPUTED_VALUE"""),"Nordsjælland")</f>
        <v>Nordsjælland</v>
      </c>
      <c r="N34" s="14" t="str">
        <f ca="1">IFERROR(__xludf.DUMMYFUNCTION("""COMPUTED_VALUE"""),"Hovedstaden")</f>
        <v>Hovedstaden</v>
      </c>
      <c r="O34" s="14">
        <f ca="1">IFERROR(__xludf.DUMMYFUNCTION("""COMPUTED_VALUE"""),88209280)</f>
        <v>88209280</v>
      </c>
      <c r="P34" s="14" t="str">
        <f ca="1">IFERROR(__xludf.DUMMYFUNCTION("""COMPUTED_VALUE"""),"179@home.dk")</f>
        <v>179@home.dk</v>
      </c>
      <c r="Q34" s="15" t="str">
        <f ca="1">IFERROR(__xludf.DUMMYFUNCTION("""COMPUTED_VALUE"""),"https://www.boliga.dk/maegler/24638")</f>
        <v>https://www.boliga.dk/maegler/24638</v>
      </c>
      <c r="R34" s="14" t="str">
        <f ca="1">IFERROR(__xludf.DUMMYFUNCTION("""COMPUTED_VALUE"""),"-")</f>
        <v>-</v>
      </c>
      <c r="S34" s="14" t="str">
        <f ca="1">IFERROR(__xludf.DUMMYFUNCTION("""COMPUTED_VALUE"""),"-")</f>
        <v>-</v>
      </c>
      <c r="T34" s="14" t="str">
        <f ca="1">IFERROR(__xludf.DUMMYFUNCTION("""COMPUTED_VALUE"""),"-")</f>
        <v>-</v>
      </c>
      <c r="U34" s="14">
        <f ca="1">IFERROR(__xludf.DUMMYFUNCTION("""COMPUTED_VALUE"""),9)</f>
        <v>9</v>
      </c>
      <c r="V34" s="14">
        <f ca="1">IFERROR(__xludf.DUMMYFUNCTION("""COMPUTED_VALUE"""),3390)</f>
        <v>3390</v>
      </c>
      <c r="W34" s="14">
        <f ca="1">IFERROR(__xludf.DUMMYFUNCTION("""COMPUTED_VALUE"""),5)</f>
        <v>5</v>
      </c>
      <c r="X34" s="14">
        <f ca="1">IFERROR(__xludf.DUMMYFUNCTION("""COMPUTED_VALUE"""),3390)</f>
        <v>3390</v>
      </c>
      <c r="Y34" s="14" t="str">
        <f ca="1">IFERROR(__xludf.DUMMYFUNCTION("""COMPUTED_VALUE"""),"ja")</f>
        <v>ja</v>
      </c>
      <c r="Z34" s="14"/>
      <c r="AA34" s="14"/>
      <c r="AB34" s="14" t="str">
        <f ca="1">IFERROR(__xludf.DUMMYFUNCTION("""COMPUTED_VALUE"""),"x")</f>
        <v>x</v>
      </c>
      <c r="AC34" s="14" t="str">
        <f ca="1">IFERROR(__xludf.DUMMYFUNCTION("""COMPUTED_VALUE"""),"x")</f>
        <v>x</v>
      </c>
    </row>
    <row r="35" spans="1:29" ht="12.5" x14ac:dyDescent="0.25">
      <c r="A35" s="14" t="str">
        <f ca="1">IFERROR(__xludf.DUMMYFUNCTION("""COMPUTED_VALUE"""),"Camilla")</f>
        <v>Camilla</v>
      </c>
      <c r="B35" s="14" t="str">
        <f ca="1">IFERROR(__xludf.DUMMYFUNCTION("""COMPUTED_VALUE"""),"home Hørsholm")</f>
        <v>home Hørsholm</v>
      </c>
      <c r="C35" s="15">
        <f ca="1">IFERROR(__xludf.DUMMYFUNCTION("""COMPUTED_VALUE"""),36198540)</f>
        <v>36198540</v>
      </c>
      <c r="D35" s="14" t="str">
        <f ca="1">IFERROR(__xludf.DUMMYFUNCTION("""COMPUTED_VALUE"""),"MG-SJ: 3.499,-")</f>
        <v>MG-SJ: 3.499,-</v>
      </c>
      <c r="E35" s="14">
        <f ca="1">IFERROR(__xludf.DUMMYFUNCTION("""COMPUTED_VALUE"""),1202)</f>
        <v>1202</v>
      </c>
      <c r="F35" s="14" t="str">
        <f ca="1">IFERROR(__xludf.DUMMYFUNCTION("""COMPUTED_VALUE"""),"Andreas Rosenkilde")</f>
        <v>Andreas Rosenkilde</v>
      </c>
      <c r="G35" s="14" t="str">
        <f ca="1">IFERROR(__xludf.DUMMYFUNCTION("""COMPUTED_VALUE"""),"anro@home.dk")</f>
        <v>anro@home.dk</v>
      </c>
      <c r="H35" s="14">
        <f ca="1">IFERROR(__xludf.DUMMYFUNCTION("""COMPUTED_VALUE"""),21712200)</f>
        <v>21712200</v>
      </c>
      <c r="I35" s="14" t="str">
        <f ca="1">IFERROR(__xludf.DUMMYFUNCTION("""COMPUTED_VALUE"""),"Rungstedvej 19B")</f>
        <v>Rungstedvej 19B</v>
      </c>
      <c r="J35" s="14">
        <f ca="1">IFERROR(__xludf.DUMMYFUNCTION("""COMPUTED_VALUE"""),2970)</f>
        <v>2970</v>
      </c>
      <c r="K35" s="14" t="str">
        <f ca="1">IFERROR(__xludf.DUMMYFUNCTION("""COMPUTED_VALUE"""),"Hørsholm")</f>
        <v>Hørsholm</v>
      </c>
      <c r="L35" s="14" t="str">
        <f ca="1">IFERROR(__xludf.DUMMYFUNCTION("""COMPUTED_VALUE"""),"Hørsholm")</f>
        <v>Hørsholm</v>
      </c>
      <c r="M35" s="14" t="str">
        <f ca="1">IFERROR(__xludf.DUMMYFUNCTION("""COMPUTED_VALUE"""),"Nordsjælland")</f>
        <v>Nordsjælland</v>
      </c>
      <c r="N35" s="14" t="str">
        <f ca="1">IFERROR(__xludf.DUMMYFUNCTION("""COMPUTED_VALUE"""),"Hovedstaden")</f>
        <v>Hovedstaden</v>
      </c>
      <c r="O35" s="14">
        <f ca="1">IFERROR(__xludf.DUMMYFUNCTION("""COMPUTED_VALUE"""),49214921)</f>
        <v>49214921</v>
      </c>
      <c r="P35" s="14" t="str">
        <f ca="1">IFERROR(__xludf.DUMMYFUNCTION("""COMPUTED_VALUE"""),"142@home.dk")</f>
        <v>142@home.dk</v>
      </c>
      <c r="Q35" s="15" t="str">
        <f ca="1">IFERROR(__xludf.DUMMYFUNCTION("""COMPUTED_VALUE"""),"https://www.boliga.dk/maegler/213")</f>
        <v>https://www.boliga.dk/maegler/213</v>
      </c>
      <c r="R35" s="14" t="str">
        <f ca="1">IFERROR(__xludf.DUMMYFUNCTION("""COMPUTED_VALUE"""),"-")</f>
        <v>-</v>
      </c>
      <c r="S35" s="14" t="str">
        <f ca="1">IFERROR(__xludf.DUMMYFUNCTION("""COMPUTED_VALUE"""),"-")</f>
        <v>-</v>
      </c>
      <c r="T35" s="14" t="str">
        <f ca="1">IFERROR(__xludf.DUMMYFUNCTION("""COMPUTED_VALUE"""),"-")</f>
        <v>-</v>
      </c>
      <c r="U35" s="14">
        <f ca="1">IFERROR(__xludf.DUMMYFUNCTION("""COMPUTED_VALUE"""),30)</f>
        <v>30</v>
      </c>
      <c r="V35" s="14" t="str">
        <f ca="1">IFERROR(__xludf.DUMMYFUNCTION("""COMPUTED_VALUE"""),"2960, 3120, 2970, 3100")</f>
        <v>2960, 3120, 2970, 3100</v>
      </c>
      <c r="W35" s="14">
        <f ca="1">IFERROR(__xludf.DUMMYFUNCTION("""COMPUTED_VALUE"""),19)</f>
        <v>19</v>
      </c>
      <c r="X35" s="14" t="str">
        <f ca="1">IFERROR(__xludf.DUMMYFUNCTION("""COMPUTED_VALUE"""),"2200, 3080, 2970, 3140, 2960, 2800, 4583")</f>
        <v>2200, 3080, 2970, 3140, 2960, 2800, 4583</v>
      </c>
      <c r="Y35" s="14" t="str">
        <f ca="1">IFERROR(__xludf.DUMMYFUNCTION("""COMPUTED_VALUE"""),"ja")</f>
        <v>ja</v>
      </c>
      <c r="Z35" s="14"/>
      <c r="AA35" s="14"/>
      <c r="AB35" s="14" t="str">
        <f ca="1">IFERROR(__xludf.DUMMYFUNCTION("""COMPUTED_VALUE"""),"x")</f>
        <v>x</v>
      </c>
      <c r="AC35" s="14" t="str">
        <f ca="1">IFERROR(__xludf.DUMMYFUNCTION("""COMPUTED_VALUE"""),"x")</f>
        <v>x</v>
      </c>
    </row>
    <row r="36" spans="1:29" ht="12.5" x14ac:dyDescent="0.25">
      <c r="A36" s="14" t="str">
        <f ca="1">IFERROR(__xludf.DUMMYFUNCTION("""COMPUTED_VALUE"""),"Camilla")</f>
        <v>Camilla</v>
      </c>
      <c r="B36" s="14" t="str">
        <f ca="1">IFERROR(__xludf.DUMMYFUNCTION("""COMPUTED_VALUE"""),"home Jægerspris")</f>
        <v>home Jægerspris</v>
      </c>
      <c r="C36" s="15">
        <f ca="1">IFERROR(__xludf.DUMMYFUNCTION("""COMPUTED_VALUE"""),36472480)</f>
        <v>36472480</v>
      </c>
      <c r="D36" s="14" t="str">
        <f ca="1">IFERROR(__xludf.DUMMYFUNCTION("""COMPUTED_VALUE"""),"MG-SJ: 3.499,-")</f>
        <v>MG-SJ: 3.499,-</v>
      </c>
      <c r="E36" s="14">
        <f ca="1">IFERROR(__xludf.DUMMYFUNCTION("""COMPUTED_VALUE"""),1202)</f>
        <v>1202</v>
      </c>
      <c r="F36" s="14" t="str">
        <f ca="1">IFERROR(__xludf.DUMMYFUNCTION("""COMPUTED_VALUE"""),"Lars Wilkens")</f>
        <v>Lars Wilkens</v>
      </c>
      <c r="G36" s="14" t="str">
        <f ca="1">IFERROR(__xludf.DUMMYFUNCTION("""COMPUTED_VALUE"""),"lawil@home.dk")</f>
        <v>lawil@home.dk</v>
      </c>
      <c r="H36" s="14">
        <f ca="1">IFERROR(__xludf.DUMMYFUNCTION("""COMPUTED_VALUE"""),22656506)</f>
        <v>22656506</v>
      </c>
      <c r="I36" s="14" t="str">
        <f ca="1">IFERROR(__xludf.DUMMYFUNCTION("""COMPUTED_VALUE"""),"Hovedgaden 32D")</f>
        <v>Hovedgaden 32D</v>
      </c>
      <c r="J36" s="14">
        <f ca="1">IFERROR(__xludf.DUMMYFUNCTION("""COMPUTED_VALUE"""),3630)</f>
        <v>3630</v>
      </c>
      <c r="K36" s="14" t="str">
        <f ca="1">IFERROR(__xludf.DUMMYFUNCTION("""COMPUTED_VALUE"""),"Jægerspris")</f>
        <v>Jægerspris</v>
      </c>
      <c r="L36" s="14" t="str">
        <f ca="1">IFERROR(__xludf.DUMMYFUNCTION("""COMPUTED_VALUE"""),"Frederikssund")</f>
        <v>Frederikssund</v>
      </c>
      <c r="M36" s="14" t="str">
        <f ca="1">IFERROR(__xludf.DUMMYFUNCTION("""COMPUTED_VALUE"""),"Nordsjælland")</f>
        <v>Nordsjælland</v>
      </c>
      <c r="N36" s="14" t="str">
        <f ca="1">IFERROR(__xludf.DUMMYFUNCTION("""COMPUTED_VALUE"""),"Hovedstaden")</f>
        <v>Hovedstaden</v>
      </c>
      <c r="O36" s="14">
        <f ca="1">IFERROR(__xludf.DUMMYFUNCTION("""COMPUTED_VALUE"""),70200020)</f>
        <v>70200020</v>
      </c>
      <c r="P36" s="14" t="str">
        <f ca="1">IFERROR(__xludf.DUMMYFUNCTION("""COMPUTED_VALUE"""),"121@home.dk")</f>
        <v>121@home.dk</v>
      </c>
      <c r="Q36" s="15" t="str">
        <f ca="1">IFERROR(__xludf.DUMMYFUNCTION("""COMPUTED_VALUE"""),"https://www.boliga.dk/maegler/961")</f>
        <v>https://www.boliga.dk/maegler/961</v>
      </c>
      <c r="R36" s="14" t="str">
        <f ca="1">IFERROR(__xludf.DUMMYFUNCTION("""COMPUTED_VALUE"""),"-")</f>
        <v>-</v>
      </c>
      <c r="S36" s="14" t="str">
        <f ca="1">IFERROR(__xludf.DUMMYFUNCTION("""COMPUTED_VALUE"""),"-")</f>
        <v>-</v>
      </c>
      <c r="T36" s="14" t="str">
        <f ca="1">IFERROR(__xludf.DUMMYFUNCTION("""COMPUTED_VALUE"""),"-")</f>
        <v>-</v>
      </c>
      <c r="U36" s="14">
        <f ca="1">IFERROR(__xludf.DUMMYFUNCTION("""COMPUTED_VALUE"""),17)</f>
        <v>17</v>
      </c>
      <c r="V36" s="14">
        <f ca="1">IFERROR(__xludf.DUMMYFUNCTION("""COMPUTED_VALUE"""),3630)</f>
        <v>3630</v>
      </c>
      <c r="W36" s="14">
        <f ca="1">IFERROR(__xludf.DUMMYFUNCTION("""COMPUTED_VALUE"""),14)</f>
        <v>14</v>
      </c>
      <c r="X36" s="14">
        <f ca="1">IFERROR(__xludf.DUMMYFUNCTION("""COMPUTED_VALUE"""),3630)</f>
        <v>3630</v>
      </c>
      <c r="Y36" s="14" t="str">
        <f ca="1">IFERROR(__xludf.DUMMYFUNCTION("""COMPUTED_VALUE"""),"ja")</f>
        <v>ja</v>
      </c>
      <c r="Z36" s="14"/>
      <c r="AA36" s="14"/>
      <c r="AB36" s="14" t="str">
        <f ca="1">IFERROR(__xludf.DUMMYFUNCTION("""COMPUTED_VALUE"""),"x")</f>
        <v>x</v>
      </c>
      <c r="AC36" s="14" t="str">
        <f ca="1">IFERROR(__xludf.DUMMYFUNCTION("""COMPUTED_VALUE"""),"x")</f>
        <v>x</v>
      </c>
    </row>
    <row r="37" spans="1:29" ht="12.5" x14ac:dyDescent="0.25">
      <c r="A37" s="14" t="str">
        <f ca="1">IFERROR(__xludf.DUMMYFUNCTION("""COMPUTED_VALUE"""),"Camilla")</f>
        <v>Camilla</v>
      </c>
      <c r="B37" s="14" t="str">
        <f ca="1">IFERROR(__xludf.DUMMYFUNCTION("""COMPUTED_VALUE"""),"home Nivå/Kokkedal")</f>
        <v>home Nivå/Kokkedal</v>
      </c>
      <c r="C37" s="15">
        <f ca="1">IFERROR(__xludf.DUMMYFUNCTION("""COMPUTED_VALUE"""),40374884)</f>
        <v>40374884</v>
      </c>
      <c r="D37" s="14" t="str">
        <f ca="1">IFERROR(__xludf.DUMMYFUNCTION("""COMPUTED_VALUE"""),"MG-SJ: 3.499,-")</f>
        <v>MG-SJ: 3.499,-</v>
      </c>
      <c r="E37" s="14">
        <f ca="1">IFERROR(__xludf.DUMMYFUNCTION("""COMPUTED_VALUE"""),1202)</f>
        <v>1202</v>
      </c>
      <c r="F37" s="14" t="str">
        <f ca="1">IFERROR(__xludf.DUMMYFUNCTION("""COMPUTED_VALUE"""),"Michael Svane")</f>
        <v>Michael Svane</v>
      </c>
      <c r="G37" s="14" t="str">
        <f ca="1">IFERROR(__xludf.DUMMYFUNCTION("""COMPUTED_VALUE"""),"misva@home.dk")</f>
        <v>misva@home.dk</v>
      </c>
      <c r="H37" s="14">
        <f ca="1">IFERROR(__xludf.DUMMYFUNCTION("""COMPUTED_VALUE"""),51956565)</f>
        <v>51956565</v>
      </c>
      <c r="I37" s="14" t="str">
        <f ca="1">IFERROR(__xludf.DUMMYFUNCTION("""COMPUTED_VALUE"""),"Niverød Kongevej 5")</f>
        <v>Niverød Kongevej 5</v>
      </c>
      <c r="J37" s="14">
        <f ca="1">IFERROR(__xludf.DUMMYFUNCTION("""COMPUTED_VALUE"""),2990)</f>
        <v>2990</v>
      </c>
      <c r="K37" s="14" t="str">
        <f ca="1">IFERROR(__xludf.DUMMYFUNCTION("""COMPUTED_VALUE"""),"Nivå")</f>
        <v>Nivå</v>
      </c>
      <c r="L37" s="14" t="str">
        <f ca="1">IFERROR(__xludf.DUMMYFUNCTION("""COMPUTED_VALUE"""),"Fredensborg")</f>
        <v>Fredensborg</v>
      </c>
      <c r="M37" s="14" t="str">
        <f ca="1">IFERROR(__xludf.DUMMYFUNCTION("""COMPUTED_VALUE"""),"Nordsjælland")</f>
        <v>Nordsjælland</v>
      </c>
      <c r="N37" s="14" t="str">
        <f ca="1">IFERROR(__xludf.DUMMYFUNCTION("""COMPUTED_VALUE"""),"Hovedstaden")</f>
        <v>Hovedstaden</v>
      </c>
      <c r="O37" s="14">
        <f ca="1">IFERROR(__xludf.DUMMYFUNCTION("""COMPUTED_VALUE"""),49141449)</f>
        <v>49141449</v>
      </c>
      <c r="P37" s="14" t="str">
        <f ca="1">IFERROR(__xludf.DUMMYFUNCTION("""COMPUTED_VALUE"""),"141@home.dk")</f>
        <v>141@home.dk</v>
      </c>
      <c r="Q37" s="15" t="str">
        <f ca="1">IFERROR(__xludf.DUMMYFUNCTION("""COMPUTED_VALUE"""),"https://www.boliga.dk/maegler/836")</f>
        <v>https://www.boliga.dk/maegler/836</v>
      </c>
      <c r="R37" s="14" t="str">
        <f ca="1">IFERROR(__xludf.DUMMYFUNCTION("""COMPUTED_VALUE"""),"-")</f>
        <v>-</v>
      </c>
      <c r="S37" s="14" t="str">
        <f ca="1">IFERROR(__xludf.DUMMYFUNCTION("""COMPUTED_VALUE"""),"-")</f>
        <v>-</v>
      </c>
      <c r="T37" s="14" t="str">
        <f ca="1">IFERROR(__xludf.DUMMYFUNCTION("""COMPUTED_VALUE"""),"-")</f>
        <v>-</v>
      </c>
      <c r="U37" s="14">
        <f ca="1">IFERROR(__xludf.DUMMYFUNCTION("""COMPUTED_VALUE"""),22)</f>
        <v>22</v>
      </c>
      <c r="V37" s="14" t="str">
        <f ca="1">IFERROR(__xludf.DUMMYFUNCTION("""COMPUTED_VALUE"""),"2980, 3000, 2990")</f>
        <v>2980, 3000, 2990</v>
      </c>
      <c r="W37" s="14">
        <f ca="1">IFERROR(__xludf.DUMMYFUNCTION("""COMPUTED_VALUE"""),39)</f>
        <v>39</v>
      </c>
      <c r="X37" s="14" t="str">
        <f ca="1">IFERROR(__xludf.DUMMYFUNCTION("""COMPUTED_VALUE"""),"2980, 2990")</f>
        <v>2980, 2990</v>
      </c>
      <c r="Y37" s="14" t="str">
        <f ca="1">IFERROR(__xludf.DUMMYFUNCTION("""COMPUTED_VALUE"""),"ja")</f>
        <v>ja</v>
      </c>
      <c r="Z37" s="14"/>
      <c r="AA37" s="14"/>
      <c r="AB37" s="14" t="str">
        <f ca="1">IFERROR(__xludf.DUMMYFUNCTION("""COMPUTED_VALUE"""),"x")</f>
        <v>x</v>
      </c>
      <c r="AC37" s="14" t="str">
        <f ca="1">IFERROR(__xludf.DUMMYFUNCTION("""COMPUTED_VALUE"""),"x")</f>
        <v>x</v>
      </c>
    </row>
    <row r="38" spans="1:29" ht="12.5" x14ac:dyDescent="0.25">
      <c r="A38" s="14" t="str">
        <f ca="1">IFERROR(__xludf.DUMMYFUNCTION("""COMPUTED_VALUE"""),"Camilla")</f>
        <v>Camilla</v>
      </c>
      <c r="B38" s="14" t="str">
        <f ca="1">IFERROR(__xludf.DUMMYFUNCTION("""COMPUTED_VALUE"""),"home Smørum")</f>
        <v>home Smørum</v>
      </c>
      <c r="C38" s="14">
        <f ca="1">IFERROR(__xludf.DUMMYFUNCTION("""COMPUTED_VALUE"""),20763892)</f>
        <v>20763892</v>
      </c>
      <c r="D38" s="14" t="str">
        <f ca="1">IFERROR(__xludf.DUMMYFUNCTION("""COMPUTED_VALUE"""),"MG-SJ: 3.499,-")</f>
        <v>MG-SJ: 3.499,-</v>
      </c>
      <c r="E38" s="14">
        <f ca="1">IFERROR(__xludf.DUMMYFUNCTION("""COMPUTED_VALUE"""),1202)</f>
        <v>1202</v>
      </c>
      <c r="F38" s="14" t="str">
        <f ca="1">IFERROR(__xludf.DUMMYFUNCTION("""COMPUTED_VALUE"""),"Anders Holm")</f>
        <v>Anders Holm</v>
      </c>
      <c r="G38" s="14" t="str">
        <f ca="1">IFERROR(__xludf.DUMMYFUNCTION("""COMPUTED_VALUE"""),"aholm@home.dk")</f>
        <v>aholm@home.dk</v>
      </c>
      <c r="H38" s="14">
        <f ca="1">IFERROR(__xludf.DUMMYFUNCTION("""COMPUTED_VALUE"""),42160222)</f>
        <v>42160222</v>
      </c>
      <c r="I38" s="14" t="str">
        <f ca="1">IFERROR(__xludf.DUMMYFUNCTION("""COMPUTED_VALUE"""),"Flodvej 75L")</f>
        <v>Flodvej 75L</v>
      </c>
      <c r="J38" s="14">
        <f ca="1">IFERROR(__xludf.DUMMYFUNCTION("""COMPUTED_VALUE"""),2765)</f>
        <v>2765</v>
      </c>
      <c r="K38" s="14" t="str">
        <f ca="1">IFERROR(__xludf.DUMMYFUNCTION("""COMPUTED_VALUE"""),"Smørum")</f>
        <v>Smørum</v>
      </c>
      <c r="L38" s="14" t="str">
        <f ca="1">IFERROR(__xludf.DUMMYFUNCTION("""COMPUTED_VALUE"""),"Egedal")</f>
        <v>Egedal</v>
      </c>
      <c r="M38" s="14" t="str">
        <f ca="1">IFERROR(__xludf.DUMMYFUNCTION("""COMPUTED_VALUE"""),"Nordsjælland")</f>
        <v>Nordsjælland</v>
      </c>
      <c r="N38" s="14" t="str">
        <f ca="1">IFERROR(__xludf.DUMMYFUNCTION("""COMPUTED_VALUE"""),"Hovedstaden")</f>
        <v>Hovedstaden</v>
      </c>
      <c r="O38" s="14">
        <f ca="1">IFERROR(__xludf.DUMMYFUNCTION("""COMPUTED_VALUE"""),36141046)</f>
        <v>36141046</v>
      </c>
      <c r="P38" s="14" t="str">
        <f ca="1">IFERROR(__xludf.DUMMYFUNCTION("""COMPUTED_VALUE"""),"182@home.dk")</f>
        <v>182@home.dk</v>
      </c>
      <c r="Q38" s="15" t="str">
        <f ca="1">IFERROR(__xludf.DUMMYFUNCTION("""COMPUTED_VALUE"""),"https://www.boliga.dk/maegler/25464")</f>
        <v>https://www.boliga.dk/maegler/25464</v>
      </c>
      <c r="R38" s="14" t="str">
        <f ca="1">IFERROR(__xludf.DUMMYFUNCTION("""COMPUTED_VALUE"""),"-")</f>
        <v>-</v>
      </c>
      <c r="S38" s="14" t="str">
        <f ca="1">IFERROR(__xludf.DUMMYFUNCTION("""COMPUTED_VALUE"""),"-")</f>
        <v>-</v>
      </c>
      <c r="T38" s="14" t="str">
        <f ca="1">IFERROR(__xludf.DUMMYFUNCTION("""COMPUTED_VALUE"""),"-")</f>
        <v>-</v>
      </c>
      <c r="U38" s="14">
        <f ca="1">IFERROR(__xludf.DUMMYFUNCTION("""COMPUTED_VALUE"""),2)</f>
        <v>2</v>
      </c>
      <c r="V38" s="14">
        <f ca="1">IFERROR(__xludf.DUMMYFUNCTION("""COMPUTED_VALUE"""),2765)</f>
        <v>2765</v>
      </c>
      <c r="W38" s="14">
        <f ca="1">IFERROR(__xludf.DUMMYFUNCTION("""COMPUTED_VALUE"""),18)</f>
        <v>18</v>
      </c>
      <c r="X38" s="14">
        <f ca="1">IFERROR(__xludf.DUMMYFUNCTION("""COMPUTED_VALUE"""),2765)</f>
        <v>2765</v>
      </c>
      <c r="Y38" s="14" t="str">
        <f ca="1">IFERROR(__xludf.DUMMYFUNCTION("""COMPUTED_VALUE"""),"ja")</f>
        <v>ja</v>
      </c>
      <c r="Z38" s="14"/>
      <c r="AA38" s="14"/>
      <c r="AB38" s="14" t="str">
        <f ca="1">IFERROR(__xludf.DUMMYFUNCTION("""COMPUTED_VALUE"""),"x")</f>
        <v>x</v>
      </c>
      <c r="AC38" s="14" t="str">
        <f ca="1">IFERROR(__xludf.DUMMYFUNCTION("""COMPUTED_VALUE"""),"x")</f>
        <v>x</v>
      </c>
    </row>
    <row r="39" spans="1:29" ht="12.5" x14ac:dyDescent="0.25">
      <c r="A39" s="14" t="str">
        <f ca="1">IFERROR(__xludf.DUMMYFUNCTION("""COMPUTED_VALUE"""),"Camilla")</f>
        <v>Camilla</v>
      </c>
      <c r="B39" s="14" t="str">
        <f ca="1">IFERROR(__xludf.DUMMYFUNCTION("""COMPUTED_VALUE"""),"home Stenløse/Ølstykke")</f>
        <v>home Stenløse/Ølstykke</v>
      </c>
      <c r="C39" s="14">
        <f ca="1">IFERROR(__xludf.DUMMYFUNCTION("""COMPUTED_VALUE"""),38322834)</f>
        <v>38322834</v>
      </c>
      <c r="D39" s="14" t="str">
        <f ca="1">IFERROR(__xludf.DUMMYFUNCTION("""COMPUTED_VALUE"""),"MG-SJ: 3.499,-")</f>
        <v>MG-SJ: 3.499,-</v>
      </c>
      <c r="E39" s="14">
        <f ca="1">IFERROR(__xludf.DUMMYFUNCTION("""COMPUTED_VALUE"""),1202)</f>
        <v>1202</v>
      </c>
      <c r="F39" s="14" t="str">
        <f ca="1">IFERROR(__xludf.DUMMYFUNCTION("""COMPUTED_VALUE"""),"Martin Fystro")</f>
        <v>Martin Fystro</v>
      </c>
      <c r="G39" s="14" t="str">
        <f ca="1">IFERROR(__xludf.DUMMYFUNCTION("""COMPUTED_VALUE"""),"fystro@home.dk")</f>
        <v>fystro@home.dk</v>
      </c>
      <c r="H39" s="14">
        <f ca="1">IFERROR(__xludf.DUMMYFUNCTION("""COMPUTED_VALUE"""),47120412)</f>
        <v>47120412</v>
      </c>
      <c r="I39" s="14" t="str">
        <f ca="1">IFERROR(__xludf.DUMMYFUNCTION("""COMPUTED_VALUE"""),"Egedal Centret 11")</f>
        <v>Egedal Centret 11</v>
      </c>
      <c r="J39" s="14">
        <f ca="1">IFERROR(__xludf.DUMMYFUNCTION("""COMPUTED_VALUE"""),3660)</f>
        <v>3660</v>
      </c>
      <c r="K39" s="14" t="str">
        <f ca="1">IFERROR(__xludf.DUMMYFUNCTION("""COMPUTED_VALUE"""),"Stenløse")</f>
        <v>Stenløse</v>
      </c>
      <c r="L39" s="14" t="str">
        <f ca="1">IFERROR(__xludf.DUMMYFUNCTION("""COMPUTED_VALUE"""),"Egedal")</f>
        <v>Egedal</v>
      </c>
      <c r="M39" s="14" t="str">
        <f ca="1">IFERROR(__xludf.DUMMYFUNCTION("""COMPUTED_VALUE"""),"Nordsjælland")</f>
        <v>Nordsjælland</v>
      </c>
      <c r="N39" s="14" t="str">
        <f ca="1">IFERROR(__xludf.DUMMYFUNCTION("""COMPUTED_VALUE"""),"Hovedstaden")</f>
        <v>Hovedstaden</v>
      </c>
      <c r="O39" s="14">
        <f ca="1">IFERROR(__xludf.DUMMYFUNCTION("""COMPUTED_VALUE"""),70101014)</f>
        <v>70101014</v>
      </c>
      <c r="P39" s="14" t="str">
        <f ca="1">IFERROR(__xludf.DUMMYFUNCTION("""COMPUTED_VALUE"""),"143@home.dk")</f>
        <v>143@home.dk</v>
      </c>
      <c r="Q39" s="15" t="str">
        <f ca="1">IFERROR(__xludf.DUMMYFUNCTION("""COMPUTED_VALUE"""),"https://www.boliga.dk/maegler/58")</f>
        <v>https://www.boliga.dk/maegler/58</v>
      </c>
      <c r="R39" s="14" t="str">
        <f ca="1">IFERROR(__xludf.DUMMYFUNCTION("""COMPUTED_VALUE"""),"-")</f>
        <v>-</v>
      </c>
      <c r="S39" s="14" t="str">
        <f ca="1">IFERROR(__xludf.DUMMYFUNCTION("""COMPUTED_VALUE"""),"-")</f>
        <v>-</v>
      </c>
      <c r="T39" s="14" t="str">
        <f ca="1">IFERROR(__xludf.DUMMYFUNCTION("""COMPUTED_VALUE"""),"-")</f>
        <v>-</v>
      </c>
      <c r="U39" s="14">
        <f ca="1">IFERROR(__xludf.DUMMYFUNCTION("""COMPUTED_VALUE"""),21)</f>
        <v>21</v>
      </c>
      <c r="V39" s="14" t="str">
        <f ca="1">IFERROR(__xludf.DUMMYFUNCTION("""COMPUTED_VALUE"""),"3650, 3670, 3660, 4040")</f>
        <v>3650, 3670, 3660, 4040</v>
      </c>
      <c r="W39" s="14">
        <f ca="1">IFERROR(__xludf.DUMMYFUNCTION("""COMPUTED_VALUE"""),77)</f>
        <v>77</v>
      </c>
      <c r="X39" s="14" t="str">
        <f ca="1">IFERROR(__xludf.DUMMYFUNCTION("""COMPUTED_VALUE"""),"3650, 4040, 3660, 3550, 3670")</f>
        <v>3650, 4040, 3660, 3550, 3670</v>
      </c>
      <c r="Y39" s="14" t="str">
        <f ca="1">IFERROR(__xludf.DUMMYFUNCTION("""COMPUTED_VALUE"""),"ja")</f>
        <v>ja</v>
      </c>
      <c r="Z39" s="14"/>
      <c r="AA39" s="14"/>
      <c r="AB39" s="14" t="str">
        <f ca="1">IFERROR(__xludf.DUMMYFUNCTION("""COMPUTED_VALUE"""),"x")</f>
        <v>x</v>
      </c>
      <c r="AC39" s="14" t="str">
        <f ca="1">IFERROR(__xludf.DUMMYFUNCTION("""COMPUTED_VALUE"""),"x")</f>
        <v>x</v>
      </c>
    </row>
    <row r="40" spans="1:29" ht="12.5" x14ac:dyDescent="0.25">
      <c r="A40" s="14" t="str">
        <f ca="1">IFERROR(__xludf.DUMMYFUNCTION("""COMPUTED_VALUE"""),"Camilla")</f>
        <v>Camilla</v>
      </c>
      <c r="B40" s="14" t="str">
        <f ca="1">IFERROR(__xludf.DUMMYFUNCTION("""COMPUTED_VALUE"""),"home Assentoft")</f>
        <v>home Assentoft</v>
      </c>
      <c r="C40" s="14">
        <f ca="1">IFERROR(__xludf.DUMMYFUNCTION("""COMPUTED_VALUE"""),35336788)</f>
        <v>35336788</v>
      </c>
      <c r="D40" s="14" t="str">
        <f ca="1">IFERROR(__xludf.DUMMYFUNCTION("""COMPUTED_VALUE"""),"MG-JY: 2.499,-")</f>
        <v>MG-JY: 2.499,-</v>
      </c>
      <c r="E40" s="14">
        <f ca="1">IFERROR(__xludf.DUMMYFUNCTION("""COMPUTED_VALUE"""),1201)</f>
        <v>1201</v>
      </c>
      <c r="F40" s="14" t="str">
        <f ca="1">IFERROR(__xludf.DUMMYFUNCTION("""COMPUTED_VALUE"""),"Peder Jakobsen")</f>
        <v>Peder Jakobsen</v>
      </c>
      <c r="G40" s="14" t="str">
        <f ca="1">IFERROR(__xludf.DUMMYFUNCTION("""COMPUTED_VALUE"""),"pederj@home.dk")</f>
        <v>pederj@home.dk</v>
      </c>
      <c r="H40" s="14">
        <f ca="1">IFERROR(__xludf.DUMMYFUNCTION("""COMPUTED_VALUE"""),40335905)</f>
        <v>40335905</v>
      </c>
      <c r="I40" s="14" t="str">
        <f ca="1">IFERROR(__xludf.DUMMYFUNCTION("""COMPUTED_VALUE"""),"Storegade 55A")</f>
        <v>Storegade 55A</v>
      </c>
      <c r="J40" s="14">
        <f ca="1">IFERROR(__xludf.DUMMYFUNCTION("""COMPUTED_VALUE"""),8960)</f>
        <v>8960</v>
      </c>
      <c r="K40" s="14" t="str">
        <f ca="1">IFERROR(__xludf.DUMMYFUNCTION("""COMPUTED_VALUE"""),"Randers SØ")</f>
        <v>Randers SØ</v>
      </c>
      <c r="L40" s="14" t="str">
        <f ca="1">IFERROR(__xludf.DUMMYFUNCTION("""COMPUTED_VALUE"""),"Randers")</f>
        <v>Randers</v>
      </c>
      <c r="M40" s="14" t="str">
        <f ca="1">IFERROR(__xludf.DUMMYFUNCTION("""COMPUTED_VALUE"""),"Østjylland")</f>
        <v>Østjylland</v>
      </c>
      <c r="N40" s="14" t="str">
        <f ca="1">IFERROR(__xludf.DUMMYFUNCTION("""COMPUTED_VALUE"""),"Midtjylland")</f>
        <v>Midtjylland</v>
      </c>
      <c r="O40" s="14">
        <f ca="1">IFERROR(__xludf.DUMMYFUNCTION("""COMPUTED_VALUE"""),86492020)</f>
        <v>86492020</v>
      </c>
      <c r="P40" s="14" t="str">
        <f ca="1">IFERROR(__xludf.DUMMYFUNCTION("""COMPUTED_VALUE"""),"646@home.dk")</f>
        <v>646@home.dk</v>
      </c>
      <c r="Q40" s="15" t="str">
        <f ca="1">IFERROR(__xludf.DUMMYFUNCTION("""COMPUTED_VALUE"""),"https://www.boliga.dk/maegler/25597")</f>
        <v>https://www.boliga.dk/maegler/25597</v>
      </c>
      <c r="R40" s="14" t="str">
        <f ca="1">IFERROR(__xludf.DUMMYFUNCTION("""COMPUTED_VALUE"""),"-")</f>
        <v>-</v>
      </c>
      <c r="S40" s="14" t="str">
        <f ca="1">IFERROR(__xludf.DUMMYFUNCTION("""COMPUTED_VALUE"""),"-")</f>
        <v>-</v>
      </c>
      <c r="T40" s="14" t="str">
        <f ca="1">IFERROR(__xludf.DUMMYFUNCTION("""COMPUTED_VALUE"""),"-")</f>
        <v>-</v>
      </c>
      <c r="U40" s="14">
        <f ca="1">IFERROR(__xludf.DUMMYFUNCTION("""COMPUTED_VALUE"""),12)</f>
        <v>12</v>
      </c>
      <c r="V40" s="14" t="str">
        <f ca="1">IFERROR(__xludf.DUMMYFUNCTION("""COMPUTED_VALUE"""),"8960, 8963")</f>
        <v>8960, 8963</v>
      </c>
      <c r="W40" s="14">
        <f ca="1">IFERROR(__xludf.DUMMYFUNCTION("""COMPUTED_VALUE"""),17)</f>
        <v>17</v>
      </c>
      <c r="X40" s="14" t="str">
        <f ca="1">IFERROR(__xludf.DUMMYFUNCTION("""COMPUTED_VALUE"""),"8950, 8585, 8960")</f>
        <v>8950, 8585, 8960</v>
      </c>
      <c r="Y40" s="14" t="str">
        <f ca="1">IFERROR(__xludf.DUMMYFUNCTION("""COMPUTED_VALUE"""),"ja")</f>
        <v>ja</v>
      </c>
      <c r="Z40" s="14"/>
      <c r="AA40" s="14"/>
      <c r="AB40" s="14" t="str">
        <f ca="1">IFERROR(__xludf.DUMMYFUNCTION("""COMPUTED_VALUE"""),"x")</f>
        <v>x</v>
      </c>
      <c r="AC40" s="14" t="str">
        <f ca="1">IFERROR(__xludf.DUMMYFUNCTION("""COMPUTED_VALUE"""),"x")</f>
        <v>x</v>
      </c>
    </row>
    <row r="41" spans="1:29" ht="12.5" x14ac:dyDescent="0.25">
      <c r="A41" s="14" t="str">
        <f ca="1">IFERROR(__xludf.DUMMYFUNCTION("""COMPUTED_VALUE"""),"Camilla")</f>
        <v>Camilla</v>
      </c>
      <c r="B41" s="14" t="str">
        <f ca="1">IFERROR(__xludf.DUMMYFUNCTION("""COMPUTED_VALUE"""),"home Brædstrup")</f>
        <v>home Brædstrup</v>
      </c>
      <c r="C41" s="14">
        <f ca="1">IFERROR(__xludf.DUMMYFUNCTION("""COMPUTED_VALUE"""),27270131)</f>
        <v>27270131</v>
      </c>
      <c r="D41" s="14" t="str">
        <f ca="1">IFERROR(__xludf.DUMMYFUNCTION("""COMPUTED_VALUE"""),"MG-JY: 2.499,-")</f>
        <v>MG-JY: 2.499,-</v>
      </c>
      <c r="E41" s="14">
        <f ca="1">IFERROR(__xludf.DUMMYFUNCTION("""COMPUTED_VALUE"""),1201)</f>
        <v>1201</v>
      </c>
      <c r="F41" s="14" t="str">
        <f ca="1">IFERROR(__xludf.DUMMYFUNCTION("""COMPUTED_VALUE"""),"Claus Bekker")</f>
        <v>Claus Bekker</v>
      </c>
      <c r="G41" s="14" t="str">
        <f ca="1">IFERROR(__xludf.DUMMYFUNCTION("""COMPUTED_VALUE"""),"bekker@home.dk")</f>
        <v>bekker@home.dk</v>
      </c>
      <c r="H41" s="14">
        <f ca="1">IFERROR(__xludf.DUMMYFUNCTION("""COMPUTED_VALUE"""),21841235)</f>
        <v>21841235</v>
      </c>
      <c r="I41" s="14" t="str">
        <f ca="1">IFERROR(__xludf.DUMMYFUNCTION("""COMPUTED_VALUE"""),"Bredgade 32")</f>
        <v>Bredgade 32</v>
      </c>
      <c r="J41" s="14">
        <f ca="1">IFERROR(__xludf.DUMMYFUNCTION("""COMPUTED_VALUE"""),8740)</f>
        <v>8740</v>
      </c>
      <c r="K41" s="14" t="str">
        <f ca="1">IFERROR(__xludf.DUMMYFUNCTION("""COMPUTED_VALUE"""),"Brædstrup")</f>
        <v>Brædstrup</v>
      </c>
      <c r="L41" s="14" t="str">
        <f ca="1">IFERROR(__xludf.DUMMYFUNCTION("""COMPUTED_VALUE"""),"Horsens")</f>
        <v>Horsens</v>
      </c>
      <c r="M41" s="14" t="str">
        <f ca="1">IFERROR(__xludf.DUMMYFUNCTION("""COMPUTED_VALUE"""),"Østjylland")</f>
        <v>Østjylland</v>
      </c>
      <c r="N41" s="14" t="str">
        <f ca="1">IFERROR(__xludf.DUMMYFUNCTION("""COMPUTED_VALUE"""),"Midtjylland")</f>
        <v>Midtjylland</v>
      </c>
      <c r="O41" s="14">
        <f ca="1">IFERROR(__xludf.DUMMYFUNCTION("""COMPUTED_VALUE"""),70602112)</f>
        <v>70602112</v>
      </c>
      <c r="P41" s="14" t="str">
        <f ca="1">IFERROR(__xludf.DUMMYFUNCTION("""COMPUTED_VALUE"""),"648@home.dk")</f>
        <v>648@home.dk</v>
      </c>
      <c r="Q41" s="15" t="str">
        <f ca="1">IFERROR(__xludf.DUMMYFUNCTION("""COMPUTED_VALUE"""),"https://www.boliga.dk/maegler/27755")</f>
        <v>https://www.boliga.dk/maegler/27755</v>
      </c>
      <c r="R41" s="14" t="str">
        <f ca="1">IFERROR(__xludf.DUMMYFUNCTION("""COMPUTED_VALUE"""),"-")</f>
        <v>-</v>
      </c>
      <c r="S41" s="14" t="str">
        <f ca="1">IFERROR(__xludf.DUMMYFUNCTION("""COMPUTED_VALUE"""),"-")</f>
        <v>-</v>
      </c>
      <c r="T41" s="14" t="str">
        <f ca="1">IFERROR(__xludf.DUMMYFUNCTION("""COMPUTED_VALUE"""),"-")</f>
        <v>-</v>
      </c>
      <c r="U41" s="14">
        <f ca="1">IFERROR(__xludf.DUMMYFUNCTION("""COMPUTED_VALUE"""),38)</f>
        <v>38</v>
      </c>
      <c r="V41" s="14" t="str">
        <f ca="1">IFERROR(__xludf.DUMMYFUNCTION("""COMPUTED_VALUE"""),"8752, 8740, 7160, 8763, 8765")</f>
        <v>8752, 8740, 7160, 8763, 8765</v>
      </c>
      <c r="W41" s="14">
        <f ca="1">IFERROR(__xludf.DUMMYFUNCTION("""COMPUTED_VALUE"""),8)</f>
        <v>8</v>
      </c>
      <c r="X41" s="14" t="str">
        <f ca="1">IFERROR(__xludf.DUMMYFUNCTION("""COMPUTED_VALUE"""),"8752, 8740, 8762")</f>
        <v>8752, 8740, 8762</v>
      </c>
      <c r="Y41" s="14" t="str">
        <f ca="1">IFERROR(__xludf.DUMMYFUNCTION("""COMPUTED_VALUE"""),"ja")</f>
        <v>ja</v>
      </c>
      <c r="Z41" s="14"/>
      <c r="AA41" s="14"/>
      <c r="AB41" s="14" t="str">
        <f ca="1">IFERROR(__xludf.DUMMYFUNCTION("""COMPUTED_VALUE"""),"x")</f>
        <v>x</v>
      </c>
      <c r="AC41" s="14" t="str">
        <f ca="1">IFERROR(__xludf.DUMMYFUNCTION("""COMPUTED_VALUE"""),"x")</f>
        <v>x</v>
      </c>
    </row>
    <row r="42" spans="1:29" ht="12.5" x14ac:dyDescent="0.25">
      <c r="A42" s="14" t="str">
        <f ca="1">IFERROR(__xludf.DUMMYFUNCTION("""COMPUTED_VALUE"""),"Camilla")</f>
        <v>Camilla</v>
      </c>
      <c r="B42" s="14" t="str">
        <f ca="1">IFERROR(__xludf.DUMMYFUNCTION("""COMPUTED_VALUE"""),"home EBELTOFT / SYDDJURS")</f>
        <v>home EBELTOFT / SYDDJURS</v>
      </c>
      <c r="C42" s="15">
        <f ca="1">IFERROR(__xludf.DUMMYFUNCTION("""COMPUTED_VALUE"""),39004208)</f>
        <v>39004208</v>
      </c>
      <c r="D42" s="14" t="str">
        <f ca="1">IFERROR(__xludf.DUMMYFUNCTION("""COMPUTED_VALUE"""),"MG-JY: 2.499,-")</f>
        <v>MG-JY: 2.499,-</v>
      </c>
      <c r="E42" s="14">
        <f ca="1">IFERROR(__xludf.DUMMYFUNCTION("""COMPUTED_VALUE"""),1201)</f>
        <v>1201</v>
      </c>
      <c r="F42" s="14" t="str">
        <f ca="1">IFERROR(__xludf.DUMMYFUNCTION("""COMPUTED_VALUE"""),"Steffen Gandrup")</f>
        <v>Steffen Gandrup</v>
      </c>
      <c r="G42" s="14" t="str">
        <f ca="1">IFERROR(__xludf.DUMMYFUNCTION("""COMPUTED_VALUE"""),"stgan@home.dk")</f>
        <v>stgan@home.dk</v>
      </c>
      <c r="H42" s="14">
        <f ca="1">IFERROR(__xludf.DUMMYFUNCTION("""COMPUTED_VALUE"""),61556542)</f>
        <v>61556542</v>
      </c>
      <c r="I42" s="14" t="str">
        <f ca="1">IFERROR(__xludf.DUMMYFUNCTION("""COMPUTED_VALUE"""),"Strandvejen 25C")</f>
        <v>Strandvejen 25C</v>
      </c>
      <c r="J42" s="14">
        <f ca="1">IFERROR(__xludf.DUMMYFUNCTION("""COMPUTED_VALUE"""),8400)</f>
        <v>8400</v>
      </c>
      <c r="K42" s="14" t="str">
        <f ca="1">IFERROR(__xludf.DUMMYFUNCTION("""COMPUTED_VALUE"""),"Ebeltoft")</f>
        <v>Ebeltoft</v>
      </c>
      <c r="L42" s="14" t="str">
        <f ca="1">IFERROR(__xludf.DUMMYFUNCTION("""COMPUTED_VALUE"""),"Syddjurs")</f>
        <v>Syddjurs</v>
      </c>
      <c r="M42" s="14" t="str">
        <f ca="1">IFERROR(__xludf.DUMMYFUNCTION("""COMPUTED_VALUE"""),"Østjylland")</f>
        <v>Østjylland</v>
      </c>
      <c r="N42" s="14" t="str">
        <f ca="1">IFERROR(__xludf.DUMMYFUNCTION("""COMPUTED_VALUE"""),"Midtjylland")</f>
        <v>Midtjylland</v>
      </c>
      <c r="O42" s="14">
        <f ca="1">IFERROR(__xludf.DUMMYFUNCTION("""COMPUTED_VALUE"""),86341533)</f>
        <v>86341533</v>
      </c>
      <c r="P42" s="14" t="str">
        <f ca="1">IFERROR(__xludf.DUMMYFUNCTION("""COMPUTED_VALUE"""),"627@home.dk")</f>
        <v>627@home.dk</v>
      </c>
      <c r="Q42" s="15" t="str">
        <f ca="1">IFERROR(__xludf.DUMMYFUNCTION("""COMPUTED_VALUE"""),"https://www.boliga.dk/maegler/546")</f>
        <v>https://www.boliga.dk/maegler/546</v>
      </c>
      <c r="R42" s="14" t="str">
        <f ca="1">IFERROR(__xludf.DUMMYFUNCTION("""COMPUTED_VALUE"""),"-")</f>
        <v>-</v>
      </c>
      <c r="S42" s="14" t="str">
        <f ca="1">IFERROR(__xludf.DUMMYFUNCTION("""COMPUTED_VALUE"""),"-")</f>
        <v>-</v>
      </c>
      <c r="T42" s="14" t="str">
        <f ca="1">IFERROR(__xludf.DUMMYFUNCTION("""COMPUTED_VALUE"""),"-")</f>
        <v>-</v>
      </c>
      <c r="U42" s="14">
        <f ca="1">IFERROR(__xludf.DUMMYFUNCTION("""COMPUTED_VALUE"""),40)</f>
        <v>40</v>
      </c>
      <c r="V42" s="14" t="str">
        <f ca="1">IFERROR(__xludf.DUMMYFUNCTION("""COMPUTED_VALUE"""),"8410, 8400, 8420")</f>
        <v>8410, 8400, 8420</v>
      </c>
      <c r="W42" s="14">
        <f ca="1">IFERROR(__xludf.DUMMYFUNCTION("""COMPUTED_VALUE"""),30)</f>
        <v>30</v>
      </c>
      <c r="X42" s="14">
        <f ca="1">IFERROR(__xludf.DUMMYFUNCTION("""COMPUTED_VALUE"""),8400)</f>
        <v>8400</v>
      </c>
      <c r="Y42" s="14" t="str">
        <f ca="1">IFERROR(__xludf.DUMMYFUNCTION("""COMPUTED_VALUE"""),"ja")</f>
        <v>ja</v>
      </c>
      <c r="Z42" s="14"/>
      <c r="AA42" s="14"/>
      <c r="AB42" s="14" t="str">
        <f ca="1">IFERROR(__xludf.DUMMYFUNCTION("""COMPUTED_VALUE"""),"x")</f>
        <v>x</v>
      </c>
      <c r="AC42" s="14" t="str">
        <f ca="1">IFERROR(__xludf.DUMMYFUNCTION("""COMPUTED_VALUE"""),"x")</f>
        <v>x</v>
      </c>
    </row>
    <row r="43" spans="1:29" ht="12.5" x14ac:dyDescent="0.25">
      <c r="A43" s="14" t="str">
        <f ca="1">IFERROR(__xludf.DUMMYFUNCTION("""COMPUTED_VALUE"""),"Camilla")</f>
        <v>Camilla</v>
      </c>
      <c r="B43" s="14" t="str">
        <f ca="1">IFERROR(__xludf.DUMMYFUNCTION("""COMPUTED_VALUE"""),"home Galten / Skovby")</f>
        <v>home Galten / Skovby</v>
      </c>
      <c r="C43" s="15">
        <f ca="1">IFERROR(__xludf.DUMMYFUNCTION("""COMPUTED_VALUE"""),41314966)</f>
        <v>41314966</v>
      </c>
      <c r="D43" s="14" t="str">
        <f ca="1">IFERROR(__xludf.DUMMYFUNCTION("""COMPUTED_VALUE"""),"MG-JY: 2.499,-")</f>
        <v>MG-JY: 2.499,-</v>
      </c>
      <c r="E43" s="14">
        <f ca="1">IFERROR(__xludf.DUMMYFUNCTION("""COMPUTED_VALUE"""),1201)</f>
        <v>1201</v>
      </c>
      <c r="F43" s="14" t="str">
        <f ca="1">IFERROR(__xludf.DUMMYFUNCTION("""COMPUTED_VALUE"""),"Thomas Sørensen")</f>
        <v>Thomas Sørensen</v>
      </c>
      <c r="G43" s="14" t="str">
        <f ca="1">IFERROR(__xludf.DUMMYFUNCTION("""COMPUTED_VALUE"""),"thso@home.dk")</f>
        <v>thso@home.dk</v>
      </c>
      <c r="H43" s="14">
        <f ca="1">IFERROR(__xludf.DUMMYFUNCTION("""COMPUTED_VALUE"""),40327347)</f>
        <v>40327347</v>
      </c>
      <c r="I43" s="14" t="str">
        <f ca="1">IFERROR(__xludf.DUMMYFUNCTION("""COMPUTED_VALUE"""),"Søndergade 22")</f>
        <v>Søndergade 22</v>
      </c>
      <c r="J43" s="14">
        <f ca="1">IFERROR(__xludf.DUMMYFUNCTION("""COMPUTED_VALUE"""),8464)</f>
        <v>8464</v>
      </c>
      <c r="K43" s="14" t="str">
        <f ca="1">IFERROR(__xludf.DUMMYFUNCTION("""COMPUTED_VALUE"""),"Galten")</f>
        <v>Galten</v>
      </c>
      <c r="L43" s="14" t="str">
        <f ca="1">IFERROR(__xludf.DUMMYFUNCTION("""COMPUTED_VALUE"""),"Skanderborg")</f>
        <v>Skanderborg</v>
      </c>
      <c r="M43" s="14" t="str">
        <f ca="1">IFERROR(__xludf.DUMMYFUNCTION("""COMPUTED_VALUE"""),"Østjylland")</f>
        <v>Østjylland</v>
      </c>
      <c r="N43" s="14" t="str">
        <f ca="1">IFERROR(__xludf.DUMMYFUNCTION("""COMPUTED_VALUE"""),"Midtjylland")</f>
        <v>Midtjylland</v>
      </c>
      <c r="O43" s="14">
        <f ca="1">IFERROR(__xludf.DUMMYFUNCTION("""COMPUTED_VALUE"""),86943988)</f>
        <v>86943988</v>
      </c>
      <c r="P43" s="14" t="str">
        <f ca="1">IFERROR(__xludf.DUMMYFUNCTION("""COMPUTED_VALUE"""),"615@home.dk")</f>
        <v>615@home.dk</v>
      </c>
      <c r="Q43" s="15" t="str">
        <f ca="1">IFERROR(__xludf.DUMMYFUNCTION("""COMPUTED_VALUE"""),"https://www.boliga.dk/maegler/969")</f>
        <v>https://www.boliga.dk/maegler/969</v>
      </c>
      <c r="R43" s="14" t="str">
        <f ca="1">IFERROR(__xludf.DUMMYFUNCTION("""COMPUTED_VALUE"""),"-")</f>
        <v>-</v>
      </c>
      <c r="S43" s="14" t="str">
        <f ca="1">IFERROR(__xludf.DUMMYFUNCTION("""COMPUTED_VALUE"""),"-")</f>
        <v>-</v>
      </c>
      <c r="T43" s="14" t="str">
        <f ca="1">IFERROR(__xludf.DUMMYFUNCTION("""COMPUTED_VALUE"""),"-")</f>
        <v>-</v>
      </c>
      <c r="U43" s="14">
        <f ca="1">IFERROR(__xludf.DUMMYFUNCTION("""COMPUTED_VALUE"""),40)</f>
        <v>40</v>
      </c>
      <c r="V43" s="14" t="str">
        <f ca="1">IFERROR(__xludf.DUMMYFUNCTION("""COMPUTED_VALUE"""),"8462, 8670, 8464, 8660, 8641")</f>
        <v>8462, 8670, 8464, 8660, 8641</v>
      </c>
      <c r="W43" s="14">
        <f ca="1">IFERROR(__xludf.DUMMYFUNCTION("""COMPUTED_VALUE"""),15)</f>
        <v>15</v>
      </c>
      <c r="X43" s="14" t="str">
        <f ca="1">IFERROR(__xludf.DUMMYFUNCTION("""COMPUTED_VALUE"""),"8462, 8670, 8464")</f>
        <v>8462, 8670, 8464</v>
      </c>
      <c r="Y43" s="14" t="str">
        <f ca="1">IFERROR(__xludf.DUMMYFUNCTION("""COMPUTED_VALUE"""),"ja")</f>
        <v>ja</v>
      </c>
      <c r="Z43" s="14"/>
      <c r="AA43" s="14"/>
      <c r="AB43" s="14" t="str">
        <f ca="1">IFERROR(__xludf.DUMMYFUNCTION("""COMPUTED_VALUE"""),"x")</f>
        <v>x</v>
      </c>
      <c r="AC43" s="14" t="str">
        <f ca="1">IFERROR(__xludf.DUMMYFUNCTION("""COMPUTED_VALUE"""),"x")</f>
        <v>x</v>
      </c>
    </row>
    <row r="44" spans="1:29" ht="12.5" x14ac:dyDescent="0.25">
      <c r="A44" s="14" t="str">
        <f ca="1">IFERROR(__xludf.DUMMYFUNCTION("""COMPUTED_VALUE"""),"Camilla")</f>
        <v>Camilla</v>
      </c>
      <c r="B44" s="14" t="str">
        <f ca="1">IFERROR(__xludf.DUMMYFUNCTION("""COMPUTED_VALUE"""),"home Hedensted")</f>
        <v>home Hedensted</v>
      </c>
      <c r="C44" s="14">
        <f ca="1">IFERROR(__xludf.DUMMYFUNCTION("""COMPUTED_VALUE"""),27270131)</f>
        <v>27270131</v>
      </c>
      <c r="D44" s="14" t="str">
        <f ca="1">IFERROR(__xludf.DUMMYFUNCTION("""COMPUTED_VALUE"""),"MG-JY: 2.499,-")</f>
        <v>MG-JY: 2.499,-</v>
      </c>
      <c r="E44" s="14">
        <f ca="1">IFERROR(__xludf.DUMMYFUNCTION("""COMPUTED_VALUE"""),1201)</f>
        <v>1201</v>
      </c>
      <c r="F44" s="14" t="str">
        <f ca="1">IFERROR(__xludf.DUMMYFUNCTION("""COMPUTED_VALUE"""),"Claus Bekker")</f>
        <v>Claus Bekker</v>
      </c>
      <c r="G44" s="14" t="str">
        <f ca="1">IFERROR(__xludf.DUMMYFUNCTION("""COMPUTED_VALUE"""),"bekker@home.dk")</f>
        <v>bekker@home.dk</v>
      </c>
      <c r="H44" s="14">
        <f ca="1">IFERROR(__xludf.DUMMYFUNCTION("""COMPUTED_VALUE"""),21841235)</f>
        <v>21841235</v>
      </c>
      <c r="I44" s="14" t="str">
        <f ca="1">IFERROR(__xludf.DUMMYFUNCTION("""COMPUTED_VALUE"""),"Vesterbrogade 9")</f>
        <v>Vesterbrogade 9</v>
      </c>
      <c r="J44" s="14">
        <f ca="1">IFERROR(__xludf.DUMMYFUNCTION("""COMPUTED_VALUE"""),8722)</f>
        <v>8722</v>
      </c>
      <c r="K44" s="14" t="str">
        <f ca="1">IFERROR(__xludf.DUMMYFUNCTION("""COMPUTED_VALUE"""),"Hedensted")</f>
        <v>Hedensted</v>
      </c>
      <c r="L44" s="14" t="str">
        <f ca="1">IFERROR(__xludf.DUMMYFUNCTION("""COMPUTED_VALUE"""),"Hedensted")</f>
        <v>Hedensted</v>
      </c>
      <c r="M44" s="14" t="str">
        <f ca="1">IFERROR(__xludf.DUMMYFUNCTION("""COMPUTED_VALUE"""),"Østjylland")</f>
        <v>Østjylland</v>
      </c>
      <c r="N44" s="14" t="str">
        <f ca="1">IFERROR(__xludf.DUMMYFUNCTION("""COMPUTED_VALUE"""),"Midtjylland")</f>
        <v>Midtjylland</v>
      </c>
      <c r="O44" s="14">
        <f ca="1">IFERROR(__xludf.DUMMYFUNCTION("""COMPUTED_VALUE"""),76432800)</f>
        <v>76432800</v>
      </c>
      <c r="P44" s="14" t="str">
        <f ca="1">IFERROR(__xludf.DUMMYFUNCTION("""COMPUTED_VALUE"""),"636@home.dk")</f>
        <v>636@home.dk</v>
      </c>
      <c r="Q44" s="15" t="str">
        <f ca="1">IFERROR(__xludf.DUMMYFUNCTION("""COMPUTED_VALUE"""),"https://www.boliga.dk/maegler/43")</f>
        <v>https://www.boliga.dk/maegler/43</v>
      </c>
      <c r="R44" s="14" t="str">
        <f ca="1">IFERROR(__xludf.DUMMYFUNCTION("""COMPUTED_VALUE"""),"-")</f>
        <v>-</v>
      </c>
      <c r="S44" s="14" t="str">
        <f ca="1">IFERROR(__xludf.DUMMYFUNCTION("""COMPUTED_VALUE"""),"-")</f>
        <v>-</v>
      </c>
      <c r="T44" s="14" t="str">
        <f ca="1">IFERROR(__xludf.DUMMYFUNCTION("""COMPUTED_VALUE"""),"-")</f>
        <v>-</v>
      </c>
      <c r="U44" s="14">
        <f ca="1">IFERROR(__xludf.DUMMYFUNCTION("""COMPUTED_VALUE"""),27)</f>
        <v>27</v>
      </c>
      <c r="V44" s="14" t="str">
        <f ca="1">IFERROR(__xludf.DUMMYFUNCTION("""COMPUTED_VALUE"""),"7100, 8723, 8722, 8721")</f>
        <v>7100, 8723, 8722, 8721</v>
      </c>
      <c r="W44" s="14">
        <f ca="1">IFERROR(__xludf.DUMMYFUNCTION("""COMPUTED_VALUE"""),28)</f>
        <v>28</v>
      </c>
      <c r="X44" s="14" t="str">
        <f ca="1">IFERROR(__xludf.DUMMYFUNCTION("""COMPUTED_VALUE"""),"8700, 8722, 8723, 7171, 8721")</f>
        <v>8700, 8722, 8723, 7171, 8721</v>
      </c>
      <c r="Y44" s="14" t="str">
        <f ca="1">IFERROR(__xludf.DUMMYFUNCTION("""COMPUTED_VALUE"""),"ja")</f>
        <v>ja</v>
      </c>
      <c r="Z44" s="14"/>
      <c r="AA44" s="14"/>
      <c r="AB44" s="14" t="str">
        <f ca="1">IFERROR(__xludf.DUMMYFUNCTION("""COMPUTED_VALUE"""),"x")</f>
        <v>x</v>
      </c>
      <c r="AC44" s="14" t="str">
        <f ca="1">IFERROR(__xludf.DUMMYFUNCTION("""COMPUTED_VALUE"""),"x")</f>
        <v>x</v>
      </c>
    </row>
    <row r="45" spans="1:29" ht="12.5" x14ac:dyDescent="0.25">
      <c r="A45" s="14" t="str">
        <f ca="1">IFERROR(__xludf.DUMMYFUNCTION("""COMPUTED_VALUE"""),"Camilla")</f>
        <v>Camilla</v>
      </c>
      <c r="B45" s="14" t="str">
        <f ca="1">IFERROR(__xludf.DUMMYFUNCTION("""COMPUTED_VALUE"""),"home Horsens - Nørregade")</f>
        <v>home Horsens - Nørregade</v>
      </c>
      <c r="C45" s="14">
        <f ca="1">IFERROR(__xludf.DUMMYFUNCTION("""COMPUTED_VALUE"""),27270131)</f>
        <v>27270131</v>
      </c>
      <c r="D45" s="14" t="str">
        <f ca="1">IFERROR(__xludf.DUMMYFUNCTION("""COMPUTED_VALUE"""),"MG-JY: 2.499,-")</f>
        <v>MG-JY: 2.499,-</v>
      </c>
      <c r="E45" s="14">
        <f ca="1">IFERROR(__xludf.DUMMYFUNCTION("""COMPUTED_VALUE"""),1201)</f>
        <v>1201</v>
      </c>
      <c r="F45" s="14" t="str">
        <f ca="1">IFERROR(__xludf.DUMMYFUNCTION("""COMPUTED_VALUE"""),"Claus Bekker")</f>
        <v>Claus Bekker</v>
      </c>
      <c r="G45" s="14" t="str">
        <f ca="1">IFERROR(__xludf.DUMMYFUNCTION("""COMPUTED_VALUE"""),"bekker@home.dk")</f>
        <v>bekker@home.dk</v>
      </c>
      <c r="H45" s="14">
        <f ca="1">IFERROR(__xludf.DUMMYFUNCTION("""COMPUTED_VALUE"""),21841235)</f>
        <v>21841235</v>
      </c>
      <c r="I45" s="14" t="str">
        <f ca="1">IFERROR(__xludf.DUMMYFUNCTION("""COMPUTED_VALUE"""),"Nørregade 1")</f>
        <v>Nørregade 1</v>
      </c>
      <c r="J45" s="14">
        <f ca="1">IFERROR(__xludf.DUMMYFUNCTION("""COMPUTED_VALUE"""),8700)</f>
        <v>8700</v>
      </c>
      <c r="K45" s="14" t="str">
        <f ca="1">IFERROR(__xludf.DUMMYFUNCTION("""COMPUTED_VALUE"""),"Horsens")</f>
        <v>Horsens</v>
      </c>
      <c r="L45" s="14" t="str">
        <f ca="1">IFERROR(__xludf.DUMMYFUNCTION("""COMPUTED_VALUE"""),"Horsens")</f>
        <v>Horsens</v>
      </c>
      <c r="M45" s="14" t="str">
        <f ca="1">IFERROR(__xludf.DUMMYFUNCTION("""COMPUTED_VALUE"""),"Østjylland")</f>
        <v>Østjylland</v>
      </c>
      <c r="N45" s="14" t="str">
        <f ca="1">IFERROR(__xludf.DUMMYFUNCTION("""COMPUTED_VALUE"""),"Midtjylland")</f>
        <v>Midtjylland</v>
      </c>
      <c r="O45" s="14">
        <f ca="1">IFERROR(__xludf.DUMMYFUNCTION("""COMPUTED_VALUE"""),75628200)</f>
        <v>75628200</v>
      </c>
      <c r="P45" s="14" t="str">
        <f ca="1">IFERROR(__xludf.DUMMYFUNCTION("""COMPUTED_VALUE"""),"717@home.dk")</f>
        <v>717@home.dk</v>
      </c>
      <c r="Q45" s="15" t="str">
        <f ca="1">IFERROR(__xludf.DUMMYFUNCTION("""COMPUTED_VALUE"""),"https://www.boliga.dk/maegler/756")</f>
        <v>https://www.boliga.dk/maegler/756</v>
      </c>
      <c r="R45" s="14" t="str">
        <f ca="1">IFERROR(__xludf.DUMMYFUNCTION("""COMPUTED_VALUE"""),"-")</f>
        <v>-</v>
      </c>
      <c r="S45" s="14" t="str">
        <f ca="1">IFERROR(__xludf.DUMMYFUNCTION("""COMPUTED_VALUE"""),"-")</f>
        <v>-</v>
      </c>
      <c r="T45" s="14" t="str">
        <f ca="1">IFERROR(__xludf.DUMMYFUNCTION("""COMPUTED_VALUE"""),"-")</f>
        <v>-</v>
      </c>
      <c r="U45" s="14">
        <f ca="1">IFERROR(__xludf.DUMMYFUNCTION("""COMPUTED_VALUE"""),27)</f>
        <v>27</v>
      </c>
      <c r="V45" s="14" t="str">
        <f ca="1">IFERROR(__xludf.DUMMYFUNCTION("""COMPUTED_VALUE"""),"7130, 8700, 8751, 8752")</f>
        <v>7130, 8700, 8751, 8752</v>
      </c>
      <c r="W45" s="14">
        <f ca="1">IFERROR(__xludf.DUMMYFUNCTION("""COMPUTED_VALUE"""),30)</f>
        <v>30</v>
      </c>
      <c r="X45" s="14" t="str">
        <f ca="1">IFERROR(__xludf.DUMMYFUNCTION("""COMPUTED_VALUE"""),"8751, 8781, 8732, 8700, 8740, 8752, 8783")</f>
        <v>8751, 8781, 8732, 8700, 8740, 8752, 8783</v>
      </c>
      <c r="Y45" s="14" t="str">
        <f ca="1">IFERROR(__xludf.DUMMYFUNCTION("""COMPUTED_VALUE"""),"ja")</f>
        <v>ja</v>
      </c>
      <c r="Z45" s="14"/>
      <c r="AA45" s="14"/>
      <c r="AB45" s="14" t="str">
        <f ca="1">IFERROR(__xludf.DUMMYFUNCTION("""COMPUTED_VALUE"""),"x")</f>
        <v>x</v>
      </c>
      <c r="AC45" s="14" t="str">
        <f ca="1">IFERROR(__xludf.DUMMYFUNCTION("""COMPUTED_VALUE"""),"x")</f>
        <v>x</v>
      </c>
    </row>
    <row r="46" spans="1:29" ht="12.5" x14ac:dyDescent="0.25">
      <c r="A46" s="14" t="str">
        <f ca="1">IFERROR(__xludf.DUMMYFUNCTION("""COMPUTED_VALUE"""),"Camilla")</f>
        <v>Camilla</v>
      </c>
      <c r="B46" s="14" t="str">
        <f ca="1">IFERROR(__xludf.DUMMYFUNCTION("""COMPUTED_VALUE"""),"home Horsens - Vejlevej")</f>
        <v>home Horsens - Vejlevej</v>
      </c>
      <c r="C46" s="14">
        <f ca="1">IFERROR(__xludf.DUMMYFUNCTION("""COMPUTED_VALUE"""),27270131)</f>
        <v>27270131</v>
      </c>
      <c r="D46" s="14" t="str">
        <f ca="1">IFERROR(__xludf.DUMMYFUNCTION("""COMPUTED_VALUE"""),"MG-JY: 2.499,-")</f>
        <v>MG-JY: 2.499,-</v>
      </c>
      <c r="E46" s="14">
        <f ca="1">IFERROR(__xludf.DUMMYFUNCTION("""COMPUTED_VALUE"""),1201)</f>
        <v>1201</v>
      </c>
      <c r="F46" s="14" t="str">
        <f ca="1">IFERROR(__xludf.DUMMYFUNCTION("""COMPUTED_VALUE"""),"Claus Bekker")</f>
        <v>Claus Bekker</v>
      </c>
      <c r="G46" s="14" t="str">
        <f ca="1">IFERROR(__xludf.DUMMYFUNCTION("""COMPUTED_VALUE"""),"bekker@home.dk")</f>
        <v>bekker@home.dk</v>
      </c>
      <c r="H46" s="14">
        <f ca="1">IFERROR(__xludf.DUMMYFUNCTION("""COMPUTED_VALUE"""),21841235)</f>
        <v>21841235</v>
      </c>
      <c r="I46" s="14" t="str">
        <f ca="1">IFERROR(__xludf.DUMMYFUNCTION("""COMPUTED_VALUE"""),"Vejlevej 47 A")</f>
        <v>Vejlevej 47 A</v>
      </c>
      <c r="J46" s="14">
        <f ca="1">IFERROR(__xludf.DUMMYFUNCTION("""COMPUTED_VALUE"""),8700)</f>
        <v>8700</v>
      </c>
      <c r="K46" s="14" t="str">
        <f ca="1">IFERROR(__xludf.DUMMYFUNCTION("""COMPUTED_VALUE"""),"Horsens")</f>
        <v>Horsens</v>
      </c>
      <c r="L46" s="14" t="str">
        <f ca="1">IFERROR(__xludf.DUMMYFUNCTION("""COMPUTED_VALUE"""),"Horsens")</f>
        <v>Horsens</v>
      </c>
      <c r="M46" s="14" t="str">
        <f ca="1">IFERROR(__xludf.DUMMYFUNCTION("""COMPUTED_VALUE"""),"Østjylland")</f>
        <v>Østjylland</v>
      </c>
      <c r="N46" s="14" t="str">
        <f ca="1">IFERROR(__xludf.DUMMYFUNCTION("""COMPUTED_VALUE"""),"Midtjylland")</f>
        <v>Midtjylland</v>
      </c>
      <c r="O46" s="14">
        <f ca="1">IFERROR(__xludf.DUMMYFUNCTION("""COMPUTED_VALUE"""),75628200)</f>
        <v>75628200</v>
      </c>
      <c r="P46" s="14" t="str">
        <f ca="1">IFERROR(__xludf.DUMMYFUNCTION("""COMPUTED_VALUE"""),"721@home.dk")</f>
        <v>721@home.dk</v>
      </c>
      <c r="Q46" s="15" t="str">
        <f ca="1">IFERROR(__xludf.DUMMYFUNCTION("""COMPUTED_VALUE"""),"https://www.boliga.dk/maegler/140")</f>
        <v>https://www.boliga.dk/maegler/140</v>
      </c>
      <c r="R46" s="14" t="str">
        <f ca="1">IFERROR(__xludf.DUMMYFUNCTION("""COMPUTED_VALUE"""),"-")</f>
        <v>-</v>
      </c>
      <c r="S46" s="14" t="str">
        <f ca="1">IFERROR(__xludf.DUMMYFUNCTION("""COMPUTED_VALUE"""),"-")</f>
        <v>-</v>
      </c>
      <c r="T46" s="14" t="str">
        <f ca="1">IFERROR(__xludf.DUMMYFUNCTION("""COMPUTED_VALUE"""),"-")</f>
        <v>-</v>
      </c>
      <c r="U46" s="14">
        <f ca="1">IFERROR(__xludf.DUMMYFUNCTION("""COMPUTED_VALUE"""),34)</f>
        <v>34</v>
      </c>
      <c r="V46" s="14" t="str">
        <f ca="1">IFERROR(__xludf.DUMMYFUNCTION("""COMPUTED_VALUE"""),"8763, 7130, 8700, 8732, 8751, 8783")</f>
        <v>8763, 7130, 8700, 8732, 8751, 8783</v>
      </c>
      <c r="W46" s="14">
        <f ca="1">IFERROR(__xludf.DUMMYFUNCTION("""COMPUTED_VALUE"""),31)</f>
        <v>31</v>
      </c>
      <c r="X46" s="14" t="str">
        <f ca="1">IFERROR(__xludf.DUMMYFUNCTION("""COMPUTED_VALUE"""),"7171, 8732, 8700, 8752")</f>
        <v>7171, 8732, 8700, 8752</v>
      </c>
      <c r="Y46" s="14" t="str">
        <f ca="1">IFERROR(__xludf.DUMMYFUNCTION("""COMPUTED_VALUE"""),"ja")</f>
        <v>ja</v>
      </c>
      <c r="Z46" s="14"/>
      <c r="AA46" s="14"/>
      <c r="AB46" s="14" t="str">
        <f ca="1">IFERROR(__xludf.DUMMYFUNCTION("""COMPUTED_VALUE"""),"x")</f>
        <v>x</v>
      </c>
      <c r="AC46" s="14" t="str">
        <f ca="1">IFERROR(__xludf.DUMMYFUNCTION("""COMPUTED_VALUE"""),"x")</f>
        <v>x</v>
      </c>
    </row>
    <row r="47" spans="1:29" ht="12.5" x14ac:dyDescent="0.25">
      <c r="A47" s="14" t="str">
        <f ca="1">IFERROR(__xludf.DUMMYFUNCTION("""COMPUTED_VALUE"""),"Camilla")</f>
        <v>Camilla</v>
      </c>
      <c r="B47" s="14" t="str">
        <f ca="1">IFERROR(__xludf.DUMMYFUNCTION("""COMPUTED_VALUE"""),"home Højbjerg / Beder")</f>
        <v>home Højbjerg / Beder</v>
      </c>
      <c r="C47" s="15">
        <f ca="1">IFERROR(__xludf.DUMMYFUNCTION("""COMPUTED_VALUE"""),41366338)</f>
        <v>41366338</v>
      </c>
      <c r="D47" s="14" t="str">
        <f ca="1">IFERROR(__xludf.DUMMYFUNCTION("""COMPUTED_VALUE"""),"MG-JY: 2.499,-")</f>
        <v>MG-JY: 2.499,-</v>
      </c>
      <c r="E47" s="14">
        <f ca="1">IFERROR(__xludf.DUMMYFUNCTION("""COMPUTED_VALUE"""),1201)</f>
        <v>1201</v>
      </c>
      <c r="F47" s="14" t="str">
        <f ca="1">IFERROR(__xludf.DUMMYFUNCTION("""COMPUTED_VALUE"""),"Torben Lauridsen")</f>
        <v>Torben Lauridsen</v>
      </c>
      <c r="G47" s="14" t="str">
        <f ca="1">IFERROR(__xludf.DUMMYFUNCTION("""COMPUTED_VALUE"""),"torlau@home.dk")</f>
        <v>torlau@home.dk</v>
      </c>
      <c r="H47" s="14">
        <f ca="1">IFERROR(__xludf.DUMMYFUNCTION("""COMPUTED_VALUE"""),44124167)</f>
        <v>44124167</v>
      </c>
      <c r="I47" s="14" t="str">
        <f ca="1">IFERROR(__xludf.DUMMYFUNCTION("""COMPUTED_VALUE"""),"Rosenvangs Alle 174")</f>
        <v>Rosenvangs Alle 174</v>
      </c>
      <c r="J47" s="14">
        <f ca="1">IFERROR(__xludf.DUMMYFUNCTION("""COMPUTED_VALUE"""),8270)</f>
        <v>8270</v>
      </c>
      <c r="K47" s="14" t="str">
        <f ca="1">IFERROR(__xludf.DUMMYFUNCTION("""COMPUTED_VALUE"""),"Højbjerg")</f>
        <v>Højbjerg</v>
      </c>
      <c r="L47" s="14" t="str">
        <f ca="1">IFERROR(__xludf.DUMMYFUNCTION("""COMPUTED_VALUE"""),"Aarhus")</f>
        <v>Aarhus</v>
      </c>
      <c r="M47" s="14" t="str">
        <f ca="1">IFERROR(__xludf.DUMMYFUNCTION("""COMPUTED_VALUE"""),"Østjylland")</f>
        <v>Østjylland</v>
      </c>
      <c r="N47" s="14" t="str">
        <f ca="1">IFERROR(__xludf.DUMMYFUNCTION("""COMPUTED_VALUE"""),"Midtjylland")</f>
        <v>Midtjylland</v>
      </c>
      <c r="O47" s="14">
        <f ca="1">IFERROR(__xludf.DUMMYFUNCTION("""COMPUTED_VALUE"""),86277170)</f>
        <v>86277170</v>
      </c>
      <c r="P47" s="14" t="str">
        <f ca="1">IFERROR(__xludf.DUMMYFUNCTION("""COMPUTED_VALUE"""),"623@home.dk")</f>
        <v>623@home.dk</v>
      </c>
      <c r="Q47" s="15" t="str">
        <f ca="1">IFERROR(__xludf.DUMMYFUNCTION("""COMPUTED_VALUE"""),"https://www.boliga.dk/maegler/587")</f>
        <v>https://www.boliga.dk/maegler/587</v>
      </c>
      <c r="R47" s="14" t="str">
        <f ca="1">IFERROR(__xludf.DUMMYFUNCTION("""COMPUTED_VALUE"""),"-")</f>
        <v>-</v>
      </c>
      <c r="S47" s="14" t="str">
        <f ca="1">IFERROR(__xludf.DUMMYFUNCTION("""COMPUTED_VALUE"""),"-")</f>
        <v>-</v>
      </c>
      <c r="T47" s="14" t="str">
        <f ca="1">IFERROR(__xludf.DUMMYFUNCTION("""COMPUTED_VALUE"""),"-")</f>
        <v>-</v>
      </c>
      <c r="U47" s="14">
        <f ca="1">IFERROR(__xludf.DUMMYFUNCTION("""COMPUTED_VALUE"""),23)</f>
        <v>23</v>
      </c>
      <c r="V47" s="14" t="str">
        <f ca="1">IFERROR(__xludf.DUMMYFUNCTION("""COMPUTED_VALUE"""),"8270, 8300, 8340")</f>
        <v>8270, 8300, 8340</v>
      </c>
      <c r="W47" s="14">
        <f ca="1">IFERROR(__xludf.DUMMYFUNCTION("""COMPUTED_VALUE"""),24)</f>
        <v>24</v>
      </c>
      <c r="X47" s="14" t="str">
        <f ca="1">IFERROR(__xludf.DUMMYFUNCTION("""COMPUTED_VALUE"""),"8270, 8330, 8320, 8000, 8381, 8340")</f>
        <v>8270, 8330, 8320, 8000, 8381, 8340</v>
      </c>
      <c r="Y47" s="14" t="str">
        <f ca="1">IFERROR(__xludf.DUMMYFUNCTION("""COMPUTED_VALUE"""),"ja")</f>
        <v>ja</v>
      </c>
      <c r="Z47" s="14"/>
      <c r="AA47" s="14"/>
      <c r="AB47" s="14" t="str">
        <f ca="1">IFERROR(__xludf.DUMMYFUNCTION("""COMPUTED_VALUE"""),"x")</f>
        <v>x</v>
      </c>
      <c r="AC47" s="14" t="str">
        <f ca="1">IFERROR(__xludf.DUMMYFUNCTION("""COMPUTED_VALUE"""),"x")</f>
        <v>x</v>
      </c>
    </row>
    <row r="48" spans="1:29" ht="12.5" x14ac:dyDescent="0.25">
      <c r="A48" s="14" t="str">
        <f ca="1">IFERROR(__xludf.DUMMYFUNCTION("""COMPUTED_VALUE"""),"Camilla")</f>
        <v>Camilla</v>
      </c>
      <c r="B48" s="14" t="str">
        <f ca="1">IFERROR(__xludf.DUMMYFUNCTION("""COMPUTED_VALUE"""),"home Juelsminde")</f>
        <v>home Juelsminde</v>
      </c>
      <c r="C48" s="14">
        <f ca="1">IFERROR(__xludf.DUMMYFUNCTION("""COMPUTED_VALUE"""),27270131)</f>
        <v>27270131</v>
      </c>
      <c r="D48" s="14" t="str">
        <f ca="1">IFERROR(__xludf.DUMMYFUNCTION("""COMPUTED_VALUE"""),"MG-JY: 2.499,-")</f>
        <v>MG-JY: 2.499,-</v>
      </c>
      <c r="E48" s="14">
        <f ca="1">IFERROR(__xludf.DUMMYFUNCTION("""COMPUTED_VALUE"""),1201)</f>
        <v>1201</v>
      </c>
      <c r="F48" s="14" t="str">
        <f ca="1">IFERROR(__xludf.DUMMYFUNCTION("""COMPUTED_VALUE"""),"Claus Bekker")</f>
        <v>Claus Bekker</v>
      </c>
      <c r="G48" s="14" t="str">
        <f ca="1">IFERROR(__xludf.DUMMYFUNCTION("""COMPUTED_VALUE"""),"bekker@home.dk")</f>
        <v>bekker@home.dk</v>
      </c>
      <c r="H48" s="14">
        <f ca="1">IFERROR(__xludf.DUMMYFUNCTION("""COMPUTED_VALUE"""),21841235)</f>
        <v>21841235</v>
      </c>
      <c r="I48" s="14" t="str">
        <f ca="1">IFERROR(__xludf.DUMMYFUNCTION("""COMPUTED_VALUE"""),"Søgade 5")</f>
        <v>Søgade 5</v>
      </c>
      <c r="J48" s="14">
        <f ca="1">IFERROR(__xludf.DUMMYFUNCTION("""COMPUTED_VALUE"""),7130)</f>
        <v>7130</v>
      </c>
      <c r="K48" s="14" t="str">
        <f ca="1">IFERROR(__xludf.DUMMYFUNCTION("""COMPUTED_VALUE"""),"Juelsminde")</f>
        <v>Juelsminde</v>
      </c>
      <c r="L48" s="14" t="str">
        <f ca="1">IFERROR(__xludf.DUMMYFUNCTION("""COMPUTED_VALUE"""),"Hedensted")</f>
        <v>Hedensted</v>
      </c>
      <c r="M48" s="14" t="str">
        <f ca="1">IFERROR(__xludf.DUMMYFUNCTION("""COMPUTED_VALUE"""),"Østjylland")</f>
        <v>Østjylland</v>
      </c>
      <c r="N48" s="14" t="str">
        <f ca="1">IFERROR(__xludf.DUMMYFUNCTION("""COMPUTED_VALUE"""),"Midtjylland")</f>
        <v>Midtjylland</v>
      </c>
      <c r="O48" s="14">
        <f ca="1">IFERROR(__xludf.DUMMYFUNCTION("""COMPUTED_VALUE"""),73707130)</f>
        <v>73707130</v>
      </c>
      <c r="P48" s="14" t="str">
        <f ca="1">IFERROR(__xludf.DUMMYFUNCTION("""COMPUTED_VALUE"""),"645@home.dk")</f>
        <v>645@home.dk</v>
      </c>
      <c r="Q48" s="15" t="str">
        <f ca="1">IFERROR(__xludf.DUMMYFUNCTION("""COMPUTED_VALUE"""),"https://www.boliga.dk/maegler/25385")</f>
        <v>https://www.boliga.dk/maegler/25385</v>
      </c>
      <c r="R48" s="14" t="str">
        <f ca="1">IFERROR(__xludf.DUMMYFUNCTION("""COMPUTED_VALUE"""),"-")</f>
        <v>-</v>
      </c>
      <c r="S48" s="14" t="str">
        <f ca="1">IFERROR(__xludf.DUMMYFUNCTION("""COMPUTED_VALUE"""),"-")</f>
        <v>-</v>
      </c>
      <c r="T48" s="14" t="str">
        <f ca="1">IFERROR(__xludf.DUMMYFUNCTION("""COMPUTED_VALUE"""),"-")</f>
        <v>-</v>
      </c>
      <c r="U48" s="14">
        <f ca="1">IFERROR(__xludf.DUMMYFUNCTION("""COMPUTED_VALUE"""),54)</f>
        <v>54</v>
      </c>
      <c r="V48" s="14" t="str">
        <f ca="1">IFERROR(__xludf.DUMMYFUNCTION("""COMPUTED_VALUE"""),"7150, 7140, 7130, 8783")</f>
        <v>7150, 7140, 7130, 8783</v>
      </c>
      <c r="W48" s="14">
        <f ca="1">IFERROR(__xludf.DUMMYFUNCTION("""COMPUTED_VALUE"""),41)</f>
        <v>41</v>
      </c>
      <c r="X48" s="14" t="str">
        <f ca="1">IFERROR(__xludf.DUMMYFUNCTION("""COMPUTED_VALUE"""),"7150, 7140, 7130, 8783")</f>
        <v>7150, 7140, 7130, 8783</v>
      </c>
      <c r="Y48" s="14" t="str">
        <f ca="1">IFERROR(__xludf.DUMMYFUNCTION("""COMPUTED_VALUE"""),"ja")</f>
        <v>ja</v>
      </c>
      <c r="Z48" s="14"/>
      <c r="AA48" s="14"/>
      <c r="AB48" s="14" t="str">
        <f ca="1">IFERROR(__xludf.DUMMYFUNCTION("""COMPUTED_VALUE"""),"x")</f>
        <v>x</v>
      </c>
      <c r="AC48" s="14" t="str">
        <f ca="1">IFERROR(__xludf.DUMMYFUNCTION("""COMPUTED_VALUE"""),"x")</f>
        <v>x</v>
      </c>
    </row>
    <row r="49" spans="1:29" ht="12.5" x14ac:dyDescent="0.25">
      <c r="A49" s="14" t="str">
        <f ca="1">IFERROR(__xludf.DUMMYFUNCTION("""COMPUTED_VALUE"""),"Camilla")</f>
        <v>Camilla</v>
      </c>
      <c r="B49" s="14" t="str">
        <f ca="1">IFERROR(__xludf.DUMMYFUNCTION("""COMPUTED_VALUE"""),"home Odder")</f>
        <v>home Odder</v>
      </c>
      <c r="C49" s="14">
        <f ca="1">IFERROR(__xludf.DUMMYFUNCTION("""COMPUTED_VALUE"""),27270131)</f>
        <v>27270131</v>
      </c>
      <c r="D49" s="14" t="str">
        <f ca="1">IFERROR(__xludf.DUMMYFUNCTION("""COMPUTED_VALUE"""),"MG-JY: 2.499,-")</f>
        <v>MG-JY: 2.499,-</v>
      </c>
      <c r="E49" s="14">
        <f ca="1">IFERROR(__xludf.DUMMYFUNCTION("""COMPUTED_VALUE"""),1201)</f>
        <v>1201</v>
      </c>
      <c r="F49" s="14" t="str">
        <f ca="1">IFERROR(__xludf.DUMMYFUNCTION("""COMPUTED_VALUE"""),"Claus Bekker")</f>
        <v>Claus Bekker</v>
      </c>
      <c r="G49" s="14" t="str">
        <f ca="1">IFERROR(__xludf.DUMMYFUNCTION("""COMPUTED_VALUE"""),"bekker@home.dk")</f>
        <v>bekker@home.dk</v>
      </c>
      <c r="H49" s="14">
        <f ca="1">IFERROR(__xludf.DUMMYFUNCTION("""COMPUTED_VALUE"""),21841235)</f>
        <v>21841235</v>
      </c>
      <c r="I49" s="14" t="str">
        <f ca="1">IFERROR(__xludf.DUMMYFUNCTION("""COMPUTED_VALUE"""),"Rådhusgade 54C")</f>
        <v>Rådhusgade 54C</v>
      </c>
      <c r="J49" s="14">
        <f ca="1">IFERROR(__xludf.DUMMYFUNCTION("""COMPUTED_VALUE"""),8300)</f>
        <v>8300</v>
      </c>
      <c r="K49" s="14" t="str">
        <f ca="1">IFERROR(__xludf.DUMMYFUNCTION("""COMPUTED_VALUE"""),"Odder")</f>
        <v>Odder</v>
      </c>
      <c r="L49" s="14" t="str">
        <f ca="1">IFERROR(__xludf.DUMMYFUNCTION("""COMPUTED_VALUE"""),"Odder")</f>
        <v>Odder</v>
      </c>
      <c r="M49" s="14" t="str">
        <f ca="1">IFERROR(__xludf.DUMMYFUNCTION("""COMPUTED_VALUE"""),"Østjylland")</f>
        <v>Østjylland</v>
      </c>
      <c r="N49" s="14" t="str">
        <f ca="1">IFERROR(__xludf.DUMMYFUNCTION("""COMPUTED_VALUE"""),"Midtjylland")</f>
        <v>Midtjylland</v>
      </c>
      <c r="O49" s="14">
        <f ca="1">IFERROR(__xludf.DUMMYFUNCTION("""COMPUTED_VALUE"""),86543322)</f>
        <v>86543322</v>
      </c>
      <c r="P49" s="14" t="str">
        <f ca="1">IFERROR(__xludf.DUMMYFUNCTION("""COMPUTED_VALUE"""),"602@home.dk")</f>
        <v>602@home.dk</v>
      </c>
      <c r="Q49" s="15" t="str">
        <f ca="1">IFERROR(__xludf.DUMMYFUNCTION("""COMPUTED_VALUE"""),"https://www.boliga.dk/maegler/256")</f>
        <v>https://www.boliga.dk/maegler/256</v>
      </c>
      <c r="R49" s="14" t="str">
        <f ca="1">IFERROR(__xludf.DUMMYFUNCTION("""COMPUTED_VALUE"""),"-")</f>
        <v>-</v>
      </c>
      <c r="S49" s="14" t="str">
        <f ca="1">IFERROR(__xludf.DUMMYFUNCTION("""COMPUTED_VALUE"""),"-")</f>
        <v>-</v>
      </c>
      <c r="T49" s="14" t="str">
        <f ca="1">IFERROR(__xludf.DUMMYFUNCTION("""COMPUTED_VALUE"""),"-")</f>
        <v>-</v>
      </c>
      <c r="U49" s="14">
        <f ca="1">IFERROR(__xludf.DUMMYFUNCTION("""COMPUTED_VALUE"""),42)</f>
        <v>42</v>
      </c>
      <c r="V49" s="14" t="str">
        <f ca="1">IFERROR(__xludf.DUMMYFUNCTION("""COMPUTED_VALUE"""),"8300, 8355, 8732, 8350")</f>
        <v>8300, 8355, 8732, 8350</v>
      </c>
      <c r="W49" s="14">
        <f ca="1">IFERROR(__xludf.DUMMYFUNCTION("""COMPUTED_VALUE"""),22)</f>
        <v>22</v>
      </c>
      <c r="X49" s="14" t="str">
        <f ca="1">IFERROR(__xludf.DUMMYFUNCTION("""COMPUTED_VALUE"""),"8300, 8340, 8660, 8350")</f>
        <v>8300, 8340, 8660, 8350</v>
      </c>
      <c r="Y49" s="14" t="str">
        <f ca="1">IFERROR(__xludf.DUMMYFUNCTION("""COMPUTED_VALUE"""),"ja")</f>
        <v>ja</v>
      </c>
      <c r="Z49" s="14"/>
      <c r="AA49" s="14"/>
      <c r="AB49" s="14" t="str">
        <f ca="1">IFERROR(__xludf.DUMMYFUNCTION("""COMPUTED_VALUE"""),"x")</f>
        <v>x</v>
      </c>
      <c r="AC49" s="14" t="str">
        <f ca="1">IFERROR(__xludf.DUMMYFUNCTION("""COMPUTED_VALUE"""),"x")</f>
        <v>x</v>
      </c>
    </row>
    <row r="50" spans="1:29" ht="12.5" x14ac:dyDescent="0.25">
      <c r="A50" s="14" t="str">
        <f ca="1">IFERROR(__xludf.DUMMYFUNCTION("""COMPUTED_VALUE"""),"Camilla")</f>
        <v>Camilla</v>
      </c>
      <c r="B50" s="14" t="str">
        <f ca="1">IFERROR(__xludf.DUMMYFUNCTION("""COMPUTED_VALUE"""),"home Randers")</f>
        <v>home Randers</v>
      </c>
      <c r="C50" s="14">
        <f ca="1">IFERROR(__xludf.DUMMYFUNCTION("""COMPUTED_VALUE"""),35336788)</f>
        <v>35336788</v>
      </c>
      <c r="D50" s="14" t="str">
        <f ca="1">IFERROR(__xludf.DUMMYFUNCTION("""COMPUTED_VALUE"""),"MG-JY: 2.499,-")</f>
        <v>MG-JY: 2.499,-</v>
      </c>
      <c r="E50" s="14">
        <f ca="1">IFERROR(__xludf.DUMMYFUNCTION("""COMPUTED_VALUE"""),1201)</f>
        <v>1201</v>
      </c>
      <c r="F50" s="14" t="str">
        <f ca="1">IFERROR(__xludf.DUMMYFUNCTION("""COMPUTED_VALUE"""),"Peder Jakobsen")</f>
        <v>Peder Jakobsen</v>
      </c>
      <c r="G50" s="14" t="str">
        <f ca="1">IFERROR(__xludf.DUMMYFUNCTION("""COMPUTED_VALUE"""),"pederj@home.dk")</f>
        <v>pederj@home.dk</v>
      </c>
      <c r="H50" s="14">
        <f ca="1">IFERROR(__xludf.DUMMYFUNCTION("""COMPUTED_VALUE"""),40335905)</f>
        <v>40335905</v>
      </c>
      <c r="I50" s="14" t="str">
        <f ca="1">IFERROR(__xludf.DUMMYFUNCTION("""COMPUTED_VALUE"""),"Tørvebryggen 12")</f>
        <v>Tørvebryggen 12</v>
      </c>
      <c r="J50" s="14">
        <f ca="1">IFERROR(__xludf.DUMMYFUNCTION("""COMPUTED_VALUE"""),8900)</f>
        <v>8900</v>
      </c>
      <c r="K50" s="14" t="str">
        <f ca="1">IFERROR(__xludf.DUMMYFUNCTION("""COMPUTED_VALUE"""),"Randers C")</f>
        <v>Randers C</v>
      </c>
      <c r="L50" s="14" t="str">
        <f ca="1">IFERROR(__xludf.DUMMYFUNCTION("""COMPUTED_VALUE"""),"Randers")</f>
        <v>Randers</v>
      </c>
      <c r="M50" s="14" t="str">
        <f ca="1">IFERROR(__xludf.DUMMYFUNCTION("""COMPUTED_VALUE"""),"Østjylland")</f>
        <v>Østjylland</v>
      </c>
      <c r="N50" s="14" t="str">
        <f ca="1">IFERROR(__xludf.DUMMYFUNCTION("""COMPUTED_VALUE"""),"Midtjylland")</f>
        <v>Midtjylland</v>
      </c>
      <c r="O50" s="14">
        <f ca="1">IFERROR(__xludf.DUMMYFUNCTION("""COMPUTED_VALUE"""),86423800)</f>
        <v>86423800</v>
      </c>
      <c r="P50" s="14" t="str">
        <f ca="1">IFERROR(__xludf.DUMMYFUNCTION("""COMPUTED_VALUE"""),"601@home.dk")</f>
        <v>601@home.dk</v>
      </c>
      <c r="Q50" s="15" t="str">
        <f ca="1">IFERROR(__xludf.DUMMYFUNCTION("""COMPUTED_VALUE"""),"https://www.boliga.dk/maegler/879")</f>
        <v>https://www.boliga.dk/maegler/879</v>
      </c>
      <c r="R50" s="14" t="str">
        <f ca="1">IFERROR(__xludf.DUMMYFUNCTION("""COMPUTED_VALUE"""),"-")</f>
        <v>-</v>
      </c>
      <c r="S50" s="14" t="str">
        <f ca="1">IFERROR(__xludf.DUMMYFUNCTION("""COMPUTED_VALUE"""),"-")</f>
        <v>-</v>
      </c>
      <c r="T50" s="14" t="str">
        <f ca="1">IFERROR(__xludf.DUMMYFUNCTION("""COMPUTED_VALUE"""),"-")</f>
        <v>-</v>
      </c>
      <c r="U50" s="14">
        <f ca="1">IFERROR(__xludf.DUMMYFUNCTION("""COMPUTED_VALUE"""),56)</f>
        <v>56</v>
      </c>
      <c r="V50" s="14" t="str">
        <f ca="1">IFERROR(__xludf.DUMMYFUNCTION("""COMPUTED_VALUE"""),"8940, 8382, 8920, 8870, 8930, 8970, 8900, 8981, 8990, 8960, 8950, 8983, 9550, 9990")</f>
        <v>8940, 8382, 8920, 8870, 8930, 8970, 8900, 8981, 8990, 8960, 8950, 8983, 9550, 9990</v>
      </c>
      <c r="W50" s="14">
        <f ca="1">IFERROR(__xludf.DUMMYFUNCTION("""COMPUTED_VALUE"""),28)</f>
        <v>28</v>
      </c>
      <c r="X50" s="14" t="str">
        <f ca="1">IFERROR(__xludf.DUMMYFUNCTION("""COMPUTED_VALUE"""),"8870, 8930, 8981, 8920, 8940, 8900, 8990, 8960, 8983")</f>
        <v>8870, 8930, 8981, 8920, 8940, 8900, 8990, 8960, 8983</v>
      </c>
      <c r="Y50" s="14" t="str">
        <f ca="1">IFERROR(__xludf.DUMMYFUNCTION("""COMPUTED_VALUE"""),"ja")</f>
        <v>ja</v>
      </c>
      <c r="Z50" s="14"/>
      <c r="AA50" s="14"/>
      <c r="AB50" s="14" t="str">
        <f ca="1">IFERROR(__xludf.DUMMYFUNCTION("""COMPUTED_VALUE"""),"x")</f>
        <v>x</v>
      </c>
      <c r="AC50" s="14" t="str">
        <f ca="1">IFERROR(__xludf.DUMMYFUNCTION("""COMPUTED_VALUE"""),"x")</f>
        <v>x</v>
      </c>
    </row>
    <row r="51" spans="1:29" ht="12.5" x14ac:dyDescent="0.25">
      <c r="A51" s="14" t="str">
        <f ca="1">IFERROR(__xludf.DUMMYFUNCTION("""COMPUTED_VALUE"""),"Camilla")</f>
        <v>Camilla</v>
      </c>
      <c r="B51" s="14" t="str">
        <f ca="1">IFERROR(__xludf.DUMMYFUNCTION("""COMPUTED_VALUE"""),"home Rønde - Syddjurs")</f>
        <v>home Rønde - Syddjurs</v>
      </c>
      <c r="C51" s="14">
        <f ca="1">IFERROR(__xludf.DUMMYFUNCTION("""COMPUTED_VALUE"""),39004208)</f>
        <v>39004208</v>
      </c>
      <c r="D51" s="14" t="str">
        <f ca="1">IFERROR(__xludf.DUMMYFUNCTION("""COMPUTED_VALUE"""),"MG-JY: 2.499,-")</f>
        <v>MG-JY: 2.499,-</v>
      </c>
      <c r="E51" s="14">
        <f ca="1">IFERROR(__xludf.DUMMYFUNCTION("""COMPUTED_VALUE"""),1201)</f>
        <v>1201</v>
      </c>
      <c r="F51" s="14" t="str">
        <f ca="1">IFERROR(__xludf.DUMMYFUNCTION("""COMPUTED_VALUE"""),"Steffen Gandrup")</f>
        <v>Steffen Gandrup</v>
      </c>
      <c r="G51" s="14" t="str">
        <f ca="1">IFERROR(__xludf.DUMMYFUNCTION("""COMPUTED_VALUE"""),"stgan@home.dk")</f>
        <v>stgan@home.dk</v>
      </c>
      <c r="H51" s="14">
        <f ca="1">IFERROR(__xludf.DUMMYFUNCTION("""COMPUTED_VALUE"""),61556542)</f>
        <v>61556542</v>
      </c>
      <c r="I51" s="14" t="str">
        <f ca="1">IFERROR(__xludf.DUMMYFUNCTION("""COMPUTED_VALUE"""),"Hovedgaden 39")</f>
        <v>Hovedgaden 39</v>
      </c>
      <c r="J51" s="14">
        <f ca="1">IFERROR(__xludf.DUMMYFUNCTION("""COMPUTED_VALUE"""),8410)</f>
        <v>8410</v>
      </c>
      <c r="K51" s="14" t="str">
        <f ca="1">IFERROR(__xludf.DUMMYFUNCTION("""COMPUTED_VALUE"""),"Rønde")</f>
        <v>Rønde</v>
      </c>
      <c r="L51" s="14" t="str">
        <f ca="1">IFERROR(__xludf.DUMMYFUNCTION("""COMPUTED_VALUE"""),"Syddjurs")</f>
        <v>Syddjurs</v>
      </c>
      <c r="M51" s="14" t="str">
        <f ca="1">IFERROR(__xludf.DUMMYFUNCTION("""COMPUTED_VALUE"""),"Østjylland")</f>
        <v>Østjylland</v>
      </c>
      <c r="N51" s="14" t="str">
        <f ca="1">IFERROR(__xludf.DUMMYFUNCTION("""COMPUTED_VALUE"""),"Midtjylland")</f>
        <v>Midtjylland</v>
      </c>
      <c r="O51" s="14">
        <f ca="1">IFERROR(__xludf.DUMMYFUNCTION("""COMPUTED_VALUE"""),86341533)</f>
        <v>86341533</v>
      </c>
      <c r="P51" s="14" t="str">
        <f ca="1">IFERROR(__xludf.DUMMYFUNCTION("""COMPUTED_VALUE"""),"644@home.dk")</f>
        <v>644@home.dk</v>
      </c>
      <c r="Q51" s="15" t="str">
        <f ca="1">IFERROR(__xludf.DUMMYFUNCTION("""COMPUTED_VALUE"""),"https://www.boliga.dk/maegler/25493")</f>
        <v>https://www.boliga.dk/maegler/25493</v>
      </c>
      <c r="R51" s="14" t="str">
        <f ca="1">IFERROR(__xludf.DUMMYFUNCTION("""COMPUTED_VALUE"""),"-")</f>
        <v>-</v>
      </c>
      <c r="S51" s="14" t="str">
        <f ca="1">IFERROR(__xludf.DUMMYFUNCTION("""COMPUTED_VALUE"""),"-")</f>
        <v>-</v>
      </c>
      <c r="T51" s="14" t="str">
        <f ca="1">IFERROR(__xludf.DUMMYFUNCTION("""COMPUTED_VALUE"""),"-")</f>
        <v>-</v>
      </c>
      <c r="U51" s="14">
        <f ca="1">IFERROR(__xludf.DUMMYFUNCTION("""COMPUTED_VALUE"""),21)</f>
        <v>21</v>
      </c>
      <c r="V51" s="14" t="str">
        <f ca="1">IFERROR(__xludf.DUMMYFUNCTION("""COMPUTED_VALUE"""),"8400, 8543, 8420, 8544, 8410, 8550")</f>
        <v>8400, 8543, 8420, 8544, 8410, 8550</v>
      </c>
      <c r="W51" s="14">
        <f ca="1">IFERROR(__xludf.DUMMYFUNCTION("""COMPUTED_VALUE"""),11)</f>
        <v>11</v>
      </c>
      <c r="X51" s="14" t="str">
        <f ca="1">IFERROR(__xludf.DUMMYFUNCTION("""COMPUTED_VALUE"""),"8560, 8410, 8420")</f>
        <v>8560, 8410, 8420</v>
      </c>
      <c r="Y51" s="14" t="str">
        <f ca="1">IFERROR(__xludf.DUMMYFUNCTION("""COMPUTED_VALUE"""),"ja")</f>
        <v>ja</v>
      </c>
      <c r="Z51" s="14"/>
      <c r="AA51" s="14"/>
      <c r="AB51" s="14" t="str">
        <f ca="1">IFERROR(__xludf.DUMMYFUNCTION("""COMPUTED_VALUE"""),"x")</f>
        <v>x</v>
      </c>
      <c r="AC51" s="14" t="str">
        <f ca="1">IFERROR(__xludf.DUMMYFUNCTION("""COMPUTED_VALUE"""),"x")</f>
        <v>x</v>
      </c>
    </row>
    <row r="52" spans="1:29" ht="12.5" x14ac:dyDescent="0.25">
      <c r="A52" s="14" t="str">
        <f ca="1">IFERROR(__xludf.DUMMYFUNCTION("""COMPUTED_VALUE"""),"Camilla")</f>
        <v>Camilla</v>
      </c>
      <c r="B52" s="14" t="str">
        <f ca="1">IFERROR(__xludf.DUMMYFUNCTION("""COMPUTED_VALUE"""),"home Samsø")</f>
        <v>home Samsø</v>
      </c>
      <c r="C52" s="14">
        <f ca="1">IFERROR(__xludf.DUMMYFUNCTION("""COMPUTED_VALUE"""),27270131)</f>
        <v>27270131</v>
      </c>
      <c r="D52" s="14" t="str">
        <f ca="1">IFERROR(__xludf.DUMMYFUNCTION("""COMPUTED_VALUE"""),"MG-JY: 2.499,-")</f>
        <v>MG-JY: 2.499,-</v>
      </c>
      <c r="E52" s="14">
        <f ca="1">IFERROR(__xludf.DUMMYFUNCTION("""COMPUTED_VALUE"""),1201)</f>
        <v>1201</v>
      </c>
      <c r="F52" s="14" t="str">
        <f ca="1">IFERROR(__xludf.DUMMYFUNCTION("""COMPUTED_VALUE"""),"Claus Bekker")</f>
        <v>Claus Bekker</v>
      </c>
      <c r="G52" s="14" t="str">
        <f ca="1">IFERROR(__xludf.DUMMYFUNCTION("""COMPUTED_VALUE"""),"bekker@home.dk")</f>
        <v>bekker@home.dk</v>
      </c>
      <c r="H52" s="14">
        <f ca="1">IFERROR(__xludf.DUMMYFUNCTION("""COMPUTED_VALUE"""),21841235)</f>
        <v>21841235</v>
      </c>
      <c r="I52" s="14" t="str">
        <f ca="1">IFERROR(__xludf.DUMMYFUNCTION("""COMPUTED_VALUE"""),"Langgade 32")</f>
        <v>Langgade 32</v>
      </c>
      <c r="J52" s="14">
        <f ca="1">IFERROR(__xludf.DUMMYFUNCTION("""COMPUTED_VALUE"""),8305)</f>
        <v>8305</v>
      </c>
      <c r="K52" s="14" t="str">
        <f ca="1">IFERROR(__xludf.DUMMYFUNCTION("""COMPUTED_VALUE"""),"Samsø")</f>
        <v>Samsø</v>
      </c>
      <c r="L52" s="14" t="str">
        <f ca="1">IFERROR(__xludf.DUMMYFUNCTION("""COMPUTED_VALUE"""),"Samsø")</f>
        <v>Samsø</v>
      </c>
      <c r="M52" s="14" t="str">
        <f ca="1">IFERROR(__xludf.DUMMYFUNCTION("""COMPUTED_VALUE"""),"Østjylland")</f>
        <v>Østjylland</v>
      </c>
      <c r="N52" s="14" t="str">
        <f ca="1">IFERROR(__xludf.DUMMYFUNCTION("""COMPUTED_VALUE"""),"Midtjylland")</f>
        <v>Midtjylland</v>
      </c>
      <c r="O52" s="14">
        <f ca="1">IFERROR(__xludf.DUMMYFUNCTION("""COMPUTED_VALUE"""),86590022)</f>
        <v>86590022</v>
      </c>
      <c r="P52" s="14" t="str">
        <f ca="1">IFERROR(__xludf.DUMMYFUNCTION("""COMPUTED_VALUE"""),"637@home.dk")</f>
        <v>637@home.dk</v>
      </c>
      <c r="Q52" s="15" t="str">
        <f ca="1">IFERROR(__xludf.DUMMYFUNCTION("""COMPUTED_VALUE"""),"https://www.boliga.dk/maegler/26439")</f>
        <v>https://www.boliga.dk/maegler/26439</v>
      </c>
      <c r="R52" s="14" t="str">
        <f ca="1">IFERROR(__xludf.DUMMYFUNCTION("""COMPUTED_VALUE"""),"-")</f>
        <v>-</v>
      </c>
      <c r="S52" s="14" t="str">
        <f ca="1">IFERROR(__xludf.DUMMYFUNCTION("""COMPUTED_VALUE"""),"-")</f>
        <v>-</v>
      </c>
      <c r="T52" s="14" t="str">
        <f ca="1">IFERROR(__xludf.DUMMYFUNCTION("""COMPUTED_VALUE"""),"-")</f>
        <v>-</v>
      </c>
      <c r="U52" s="14">
        <f ca="1">IFERROR(__xludf.DUMMYFUNCTION("""COMPUTED_VALUE"""),21)</f>
        <v>21</v>
      </c>
      <c r="V52" s="14">
        <f ca="1">IFERROR(__xludf.DUMMYFUNCTION("""COMPUTED_VALUE"""),8305)</f>
        <v>8305</v>
      </c>
      <c r="W52" s="14">
        <f ca="1">IFERROR(__xludf.DUMMYFUNCTION("""COMPUTED_VALUE"""),20)</f>
        <v>20</v>
      </c>
      <c r="X52" s="14">
        <f ca="1">IFERROR(__xludf.DUMMYFUNCTION("""COMPUTED_VALUE"""),8305)</f>
        <v>8305</v>
      </c>
      <c r="Y52" s="14" t="str">
        <f ca="1">IFERROR(__xludf.DUMMYFUNCTION("""COMPUTED_VALUE"""),"ja")</f>
        <v>ja</v>
      </c>
      <c r="Z52" s="14"/>
      <c r="AA52" s="14"/>
      <c r="AB52" s="14" t="str">
        <f ca="1">IFERROR(__xludf.DUMMYFUNCTION("""COMPUTED_VALUE"""),"x")</f>
        <v>x</v>
      </c>
      <c r="AC52" s="14" t="str">
        <f ca="1">IFERROR(__xludf.DUMMYFUNCTION("""COMPUTED_VALUE"""),"x")</f>
        <v>x</v>
      </c>
    </row>
    <row r="53" spans="1:29" ht="12.5" x14ac:dyDescent="0.25">
      <c r="A53" s="14" t="str">
        <f ca="1">IFERROR(__xludf.DUMMYFUNCTION("""COMPUTED_VALUE"""),"Camilla")</f>
        <v>Camilla</v>
      </c>
      <c r="B53" s="14" t="str">
        <f ca="1">IFERROR(__xludf.DUMMYFUNCTION("""COMPUTED_VALUE"""),"home Silkeborg")</f>
        <v>home Silkeborg</v>
      </c>
      <c r="C53" s="15">
        <f ca="1">IFERROR(__xludf.DUMMYFUNCTION("""COMPUTED_VALUE"""),41465085)</f>
        <v>41465085</v>
      </c>
      <c r="D53" s="14" t="str">
        <f ca="1">IFERROR(__xludf.DUMMYFUNCTION("""COMPUTED_VALUE"""),"MG-JY: 2.499,-")</f>
        <v>MG-JY: 2.499,-</v>
      </c>
      <c r="E53" s="14">
        <f ca="1">IFERROR(__xludf.DUMMYFUNCTION("""COMPUTED_VALUE"""),1201)</f>
        <v>1201</v>
      </c>
      <c r="F53" s="14" t="str">
        <f ca="1">IFERROR(__xludf.DUMMYFUNCTION("""COMPUTED_VALUE"""),"Rikke Brusgaard")</f>
        <v>Rikke Brusgaard</v>
      </c>
      <c r="G53" s="14" t="str">
        <f ca="1">IFERROR(__xludf.DUMMYFUNCTION("""COMPUTED_VALUE"""),"riki@home.dk")</f>
        <v>riki@home.dk</v>
      </c>
      <c r="H53" s="14">
        <f ca="1">IFERROR(__xludf.DUMMYFUNCTION("""COMPUTED_VALUE"""),25268120)</f>
        <v>25268120</v>
      </c>
      <c r="I53" s="14" t="str">
        <f ca="1">IFERROR(__xludf.DUMMYFUNCTION("""COMPUTED_VALUE"""),"Vestergade 3")</f>
        <v>Vestergade 3</v>
      </c>
      <c r="J53" s="14">
        <f ca="1">IFERROR(__xludf.DUMMYFUNCTION("""COMPUTED_VALUE"""),8600)</f>
        <v>8600</v>
      </c>
      <c r="K53" s="14" t="str">
        <f ca="1">IFERROR(__xludf.DUMMYFUNCTION("""COMPUTED_VALUE"""),"Silkeborg")</f>
        <v>Silkeborg</v>
      </c>
      <c r="L53" s="14" t="str">
        <f ca="1">IFERROR(__xludf.DUMMYFUNCTION("""COMPUTED_VALUE"""),"Silkeborg")</f>
        <v>Silkeborg</v>
      </c>
      <c r="M53" s="14" t="str">
        <f ca="1">IFERROR(__xludf.DUMMYFUNCTION("""COMPUTED_VALUE"""),"Østjylland")</f>
        <v>Østjylland</v>
      </c>
      <c r="N53" s="14" t="str">
        <f ca="1">IFERROR(__xludf.DUMMYFUNCTION("""COMPUTED_VALUE"""),"Midtjylland")</f>
        <v>Midtjylland</v>
      </c>
      <c r="O53" s="14">
        <f ca="1">IFERROR(__xludf.DUMMYFUNCTION("""COMPUTED_VALUE"""),86827088)</f>
        <v>86827088</v>
      </c>
      <c r="P53" s="14" t="str">
        <f ca="1">IFERROR(__xludf.DUMMYFUNCTION("""COMPUTED_VALUE"""),"632@home.dk")</f>
        <v>632@home.dk</v>
      </c>
      <c r="Q53" s="15" t="str">
        <f ca="1">IFERROR(__xludf.DUMMYFUNCTION("""COMPUTED_VALUE"""),"https://www.boliga.dk/maegler/666")</f>
        <v>https://www.boliga.dk/maegler/666</v>
      </c>
      <c r="R53" s="14" t="str">
        <f ca="1">IFERROR(__xludf.DUMMYFUNCTION("""COMPUTED_VALUE"""),"-")</f>
        <v>-</v>
      </c>
      <c r="S53" s="14" t="str">
        <f ca="1">IFERROR(__xludf.DUMMYFUNCTION("""COMPUTED_VALUE"""),"-")</f>
        <v>-</v>
      </c>
      <c r="T53" s="14" t="str">
        <f ca="1">IFERROR(__xludf.DUMMYFUNCTION("""COMPUTED_VALUE"""),"-")</f>
        <v>-</v>
      </c>
      <c r="U53" s="14">
        <f ca="1">IFERROR(__xludf.DUMMYFUNCTION("""COMPUTED_VALUE"""),46)</f>
        <v>46</v>
      </c>
      <c r="V53" s="14" t="str">
        <f ca="1">IFERROR(__xludf.DUMMYFUNCTION("""COMPUTED_VALUE"""),"8654, 8882, 7442, 8620, 8600, 8653, 8740, 8883")</f>
        <v>8654, 8882, 7442, 8620, 8600, 8653, 8740, 8883</v>
      </c>
      <c r="W53" s="14">
        <f ca="1">IFERROR(__xludf.DUMMYFUNCTION("""COMPUTED_VALUE"""),29)</f>
        <v>29</v>
      </c>
      <c r="X53" s="14" t="str">
        <f ca="1">IFERROR(__xludf.DUMMYFUNCTION("""COMPUTED_VALUE"""),"8600, 7441, 8883, 8620")</f>
        <v>8600, 7441, 8883, 8620</v>
      </c>
      <c r="Y53" s="14" t="str">
        <f ca="1">IFERROR(__xludf.DUMMYFUNCTION("""COMPUTED_VALUE"""),"ja")</f>
        <v>ja</v>
      </c>
      <c r="Z53" s="14"/>
      <c r="AA53" s="14"/>
      <c r="AB53" s="14" t="str">
        <f ca="1">IFERROR(__xludf.DUMMYFUNCTION("""COMPUTED_VALUE"""),"x")</f>
        <v>x</v>
      </c>
      <c r="AC53" s="14" t="str">
        <f ca="1">IFERROR(__xludf.DUMMYFUNCTION("""COMPUTED_VALUE"""),"x")</f>
        <v>x</v>
      </c>
    </row>
    <row r="54" spans="1:29" ht="12.5" x14ac:dyDescent="0.25">
      <c r="A54" s="14" t="str">
        <f ca="1">IFERROR(__xludf.DUMMYFUNCTION("""COMPUTED_VALUE"""),"Camilla")</f>
        <v>Camilla</v>
      </c>
      <c r="B54" s="14" t="str">
        <f ca="1">IFERROR(__xludf.DUMMYFUNCTION("""COMPUTED_VALUE"""),"home Tilst")</f>
        <v>home Tilst</v>
      </c>
      <c r="C54" s="14">
        <f ca="1">IFERROR(__xludf.DUMMYFUNCTION("""COMPUTED_VALUE"""),41374985)</f>
        <v>41374985</v>
      </c>
      <c r="D54" s="14" t="str">
        <f ca="1">IFERROR(__xludf.DUMMYFUNCTION("""COMPUTED_VALUE"""),"MG-JY: 2.499,-")</f>
        <v>MG-JY: 2.499,-</v>
      </c>
      <c r="E54" s="14">
        <f ca="1">IFERROR(__xludf.DUMMYFUNCTION("""COMPUTED_VALUE"""),1201)</f>
        <v>1201</v>
      </c>
      <c r="F54" s="14" t="str">
        <f ca="1">IFERROR(__xludf.DUMMYFUNCTION("""COMPUTED_VALUE"""),"Theis Westergaard ")</f>
        <v xml:space="preserve">Theis Westergaard </v>
      </c>
      <c r="G54" s="14" t="str">
        <f ca="1">IFERROR(__xludf.DUMMYFUNCTION("""COMPUTED_VALUE"""),"west@home.dk")</f>
        <v>west@home.dk</v>
      </c>
      <c r="H54" s="14">
        <f ca="1">IFERROR(__xludf.DUMMYFUNCTION("""COMPUTED_VALUE"""),25268182)</f>
        <v>25268182</v>
      </c>
      <c r="I54" s="14" t="str">
        <f ca="1">IFERROR(__xludf.DUMMYFUNCTION("""COMPUTED_VALUE"""),"Tilst Skolevej 38")</f>
        <v>Tilst Skolevej 38</v>
      </c>
      <c r="J54" s="14">
        <f ca="1">IFERROR(__xludf.DUMMYFUNCTION("""COMPUTED_VALUE"""),8381)</f>
        <v>8381</v>
      </c>
      <c r="K54" s="14" t="str">
        <f ca="1">IFERROR(__xludf.DUMMYFUNCTION("""COMPUTED_VALUE"""),"Tilst")</f>
        <v>Tilst</v>
      </c>
      <c r="L54" s="14" t="str">
        <f ca="1">IFERROR(__xludf.DUMMYFUNCTION("""COMPUTED_VALUE"""),"Aarhus")</f>
        <v>Aarhus</v>
      </c>
      <c r="M54" s="14" t="str">
        <f ca="1">IFERROR(__xludf.DUMMYFUNCTION("""COMPUTED_VALUE"""),"Østjylland")</f>
        <v>Østjylland</v>
      </c>
      <c r="N54" s="14" t="str">
        <f ca="1">IFERROR(__xludf.DUMMYFUNCTION("""COMPUTED_VALUE"""),"Midtjylland")</f>
        <v>Midtjylland</v>
      </c>
      <c r="O54" s="14">
        <f ca="1">IFERROR(__xludf.DUMMYFUNCTION("""COMPUTED_VALUE"""),86152700)</f>
        <v>86152700</v>
      </c>
      <c r="P54" s="14" t="str">
        <f ca="1">IFERROR(__xludf.DUMMYFUNCTION("""COMPUTED_VALUE"""),"640@home.dk")</f>
        <v>640@home.dk</v>
      </c>
      <c r="Q54" s="15" t="str">
        <f ca="1">IFERROR(__xludf.DUMMYFUNCTION("""COMPUTED_VALUE"""),"https://www.boliga.dk/maegler/19703")</f>
        <v>https://www.boliga.dk/maegler/19703</v>
      </c>
      <c r="R54" s="14" t="str">
        <f ca="1">IFERROR(__xludf.DUMMYFUNCTION("""COMPUTED_VALUE"""),"-")</f>
        <v>-</v>
      </c>
      <c r="S54" s="14" t="str">
        <f ca="1">IFERROR(__xludf.DUMMYFUNCTION("""COMPUTED_VALUE"""),"-")</f>
        <v>-</v>
      </c>
      <c r="T54" s="14" t="str">
        <f ca="1">IFERROR(__xludf.DUMMYFUNCTION("""COMPUTED_VALUE"""),"-")</f>
        <v>-</v>
      </c>
      <c r="U54" s="14">
        <f ca="1">IFERROR(__xludf.DUMMYFUNCTION("""COMPUTED_VALUE"""),20)</f>
        <v>20</v>
      </c>
      <c r="V54" s="14" t="str">
        <f ca="1">IFERROR(__xludf.DUMMYFUNCTION("""COMPUTED_VALUE"""),"8000, 8381, 8930, 8471")</f>
        <v>8000, 8381, 8930, 8471</v>
      </c>
      <c r="W54" s="14">
        <f ca="1">IFERROR(__xludf.DUMMYFUNCTION("""COMPUTED_VALUE"""),15)</f>
        <v>15</v>
      </c>
      <c r="X54" s="14" t="str">
        <f ca="1">IFERROR(__xludf.DUMMYFUNCTION("""COMPUTED_VALUE"""),"8000, 8471, 8381")</f>
        <v>8000, 8471, 8381</v>
      </c>
      <c r="Y54" s="14" t="str">
        <f ca="1">IFERROR(__xludf.DUMMYFUNCTION("""COMPUTED_VALUE"""),"ja")</f>
        <v>ja</v>
      </c>
      <c r="Z54" s="14" t="str">
        <f ca="1">IFERROR(__xludf.DUMMYFUNCTION("""COMPUTED_VALUE"""),"ck")</f>
        <v>ck</v>
      </c>
      <c r="AA54" s="14"/>
      <c r="AB54" s="14" t="str">
        <f ca="1">IFERROR(__xludf.DUMMYFUNCTION("""COMPUTED_VALUE"""),"x")</f>
        <v>x</v>
      </c>
      <c r="AC54" s="14" t="str">
        <f ca="1">IFERROR(__xludf.DUMMYFUNCTION("""COMPUTED_VALUE"""),"x")</f>
        <v>x</v>
      </c>
    </row>
    <row r="55" spans="1:29" ht="12.5" x14ac:dyDescent="0.25">
      <c r="A55" s="14" t="str">
        <f ca="1">IFERROR(__xludf.DUMMYFUNCTION("""COMPUTED_VALUE"""),"Camilla")</f>
        <v>Camilla</v>
      </c>
      <c r="B55" s="14" t="str">
        <f ca="1">IFERROR(__xludf.DUMMYFUNCTION("""COMPUTED_VALUE"""),"home Tranbjerg/Solbjerg")</f>
        <v>home Tranbjerg/Solbjerg</v>
      </c>
      <c r="C55" s="15">
        <f ca="1">IFERROR(__xludf.DUMMYFUNCTION("""COMPUTED_VALUE"""),41366338)</f>
        <v>41366338</v>
      </c>
      <c r="D55" s="14" t="str">
        <f ca="1">IFERROR(__xludf.DUMMYFUNCTION("""COMPUTED_VALUE"""),"MG-JY: 2.499,-")</f>
        <v>MG-JY: 2.499,-</v>
      </c>
      <c r="E55" s="14">
        <f ca="1">IFERROR(__xludf.DUMMYFUNCTION("""COMPUTED_VALUE"""),1201)</f>
        <v>1201</v>
      </c>
      <c r="F55" s="14" t="str">
        <f ca="1">IFERROR(__xludf.DUMMYFUNCTION("""COMPUTED_VALUE"""),"Torben Lauridsen ")</f>
        <v xml:space="preserve">Torben Lauridsen </v>
      </c>
      <c r="G55" s="14" t="str">
        <f ca="1">IFERROR(__xludf.DUMMYFUNCTION("""COMPUTED_VALUE"""),"torlau@home.dk")</f>
        <v>torlau@home.dk</v>
      </c>
      <c r="H55" s="14">
        <f ca="1">IFERROR(__xludf.DUMMYFUNCTION("""COMPUTED_VALUE"""),44124167)</f>
        <v>44124167</v>
      </c>
      <c r="I55" s="14" t="str">
        <f ca="1">IFERROR(__xludf.DUMMYFUNCTION("""COMPUTED_VALUE"""),"Kirketorvet 6")</f>
        <v>Kirketorvet 6</v>
      </c>
      <c r="J55" s="14">
        <f ca="1">IFERROR(__xludf.DUMMYFUNCTION("""COMPUTED_VALUE"""),8310)</f>
        <v>8310</v>
      </c>
      <c r="K55" s="14" t="str">
        <f ca="1">IFERROR(__xludf.DUMMYFUNCTION("""COMPUTED_VALUE"""),"Tranbjerg J")</f>
        <v>Tranbjerg J</v>
      </c>
      <c r="L55" s="14" t="str">
        <f ca="1">IFERROR(__xludf.DUMMYFUNCTION("""COMPUTED_VALUE"""),"Aarhus")</f>
        <v>Aarhus</v>
      </c>
      <c r="M55" s="14" t="str">
        <f ca="1">IFERROR(__xludf.DUMMYFUNCTION("""COMPUTED_VALUE"""),"Østjylland")</f>
        <v>Østjylland</v>
      </c>
      <c r="N55" s="14" t="str">
        <f ca="1">IFERROR(__xludf.DUMMYFUNCTION("""COMPUTED_VALUE"""),"Midtjylland")</f>
        <v>Midtjylland</v>
      </c>
      <c r="O55" s="14">
        <f ca="1">IFERROR(__xludf.DUMMYFUNCTION("""COMPUTED_VALUE"""),86290711)</f>
        <v>86290711</v>
      </c>
      <c r="P55" s="14" t="str">
        <f ca="1">IFERROR(__xludf.DUMMYFUNCTION("""COMPUTED_VALUE"""),"614@home.dk")</f>
        <v>614@home.dk</v>
      </c>
      <c r="Q55" s="15" t="str">
        <f ca="1">IFERROR(__xludf.DUMMYFUNCTION("""COMPUTED_VALUE"""),"https://www.boliga.dk/maegler/229")</f>
        <v>https://www.boliga.dk/maegler/229</v>
      </c>
      <c r="R55" s="14" t="str">
        <f ca="1">IFERROR(__xludf.DUMMYFUNCTION("""COMPUTED_VALUE"""),"-")</f>
        <v>-</v>
      </c>
      <c r="S55" s="14" t="str">
        <f ca="1">IFERROR(__xludf.DUMMYFUNCTION("""COMPUTED_VALUE"""),"-")</f>
        <v>-</v>
      </c>
      <c r="T55" s="14" t="str">
        <f ca="1">IFERROR(__xludf.DUMMYFUNCTION("""COMPUTED_VALUE"""),"-")</f>
        <v>-</v>
      </c>
      <c r="U55" s="14">
        <f ca="1">IFERROR(__xludf.DUMMYFUNCTION("""COMPUTED_VALUE"""),16)</f>
        <v>16</v>
      </c>
      <c r="V55" s="14" t="str">
        <f ca="1">IFERROR(__xludf.DUMMYFUNCTION("""COMPUTED_VALUE"""),"8310, 8355")</f>
        <v>8310, 8355</v>
      </c>
      <c r="W55" s="14">
        <f ca="1">IFERROR(__xludf.DUMMYFUNCTION("""COMPUTED_VALUE"""),20)</f>
        <v>20</v>
      </c>
      <c r="X55" s="14" t="str">
        <f ca="1">IFERROR(__xludf.DUMMYFUNCTION("""COMPUTED_VALUE"""),"8340, 8310, 8355")</f>
        <v>8340, 8310, 8355</v>
      </c>
      <c r="Y55" s="14" t="str">
        <f ca="1">IFERROR(__xludf.DUMMYFUNCTION("""COMPUTED_VALUE"""),"ja")</f>
        <v>ja</v>
      </c>
      <c r="Z55" s="14"/>
      <c r="AA55" s="14"/>
      <c r="AB55" s="14" t="str">
        <f ca="1">IFERROR(__xludf.DUMMYFUNCTION("""COMPUTED_VALUE"""),"x")</f>
        <v>x</v>
      </c>
      <c r="AC55" s="14" t="str">
        <f ca="1">IFERROR(__xludf.DUMMYFUNCTION("""COMPUTED_VALUE"""),"x")</f>
        <v>x</v>
      </c>
    </row>
    <row r="56" spans="1:29" ht="12.5" x14ac:dyDescent="0.25">
      <c r="A56" s="14" t="str">
        <f ca="1">IFERROR(__xludf.DUMMYFUNCTION("""COMPUTED_VALUE"""),"Camilla")</f>
        <v>Camilla</v>
      </c>
      <c r="B56" s="14" t="str">
        <f ca="1">IFERROR(__xludf.DUMMYFUNCTION("""COMPUTED_VALUE"""),"home Viby / Hasselager")</f>
        <v>home Viby / Hasselager</v>
      </c>
      <c r="C56" s="15">
        <f ca="1">IFERROR(__xludf.DUMMYFUNCTION("""COMPUTED_VALUE"""),41366338)</f>
        <v>41366338</v>
      </c>
      <c r="D56" s="14" t="str">
        <f ca="1">IFERROR(__xludf.DUMMYFUNCTION("""COMPUTED_VALUE"""),"MG-JY: 2.499,-")</f>
        <v>MG-JY: 2.499,-</v>
      </c>
      <c r="E56" s="14">
        <f ca="1">IFERROR(__xludf.DUMMYFUNCTION("""COMPUTED_VALUE"""),1201)</f>
        <v>1201</v>
      </c>
      <c r="F56" s="14" t="str">
        <f ca="1">IFERROR(__xludf.DUMMYFUNCTION("""COMPUTED_VALUE"""),"Torben Lauridsen")</f>
        <v>Torben Lauridsen</v>
      </c>
      <c r="G56" s="14" t="str">
        <f ca="1">IFERROR(__xludf.DUMMYFUNCTION("""COMPUTED_VALUE"""),"torlau@home.dk")</f>
        <v>torlau@home.dk</v>
      </c>
      <c r="H56" s="14">
        <f ca="1">IFERROR(__xludf.DUMMYFUNCTION("""COMPUTED_VALUE"""),44124167)</f>
        <v>44124167</v>
      </c>
      <c r="I56" s="14" t="str">
        <f ca="1">IFERROR(__xludf.DUMMYFUNCTION("""COMPUTED_VALUE"""),"Skanderborgvej 182")</f>
        <v>Skanderborgvej 182</v>
      </c>
      <c r="J56" s="14">
        <f ca="1">IFERROR(__xludf.DUMMYFUNCTION("""COMPUTED_VALUE"""),8260)</f>
        <v>8260</v>
      </c>
      <c r="K56" s="14" t="str">
        <f ca="1">IFERROR(__xludf.DUMMYFUNCTION("""COMPUTED_VALUE"""),"Viby J")</f>
        <v>Viby J</v>
      </c>
      <c r="L56" s="14" t="str">
        <f ca="1">IFERROR(__xludf.DUMMYFUNCTION("""COMPUTED_VALUE"""),"Aarhus")</f>
        <v>Aarhus</v>
      </c>
      <c r="M56" s="14" t="str">
        <f ca="1">IFERROR(__xludf.DUMMYFUNCTION("""COMPUTED_VALUE"""),"Østjylland")</f>
        <v>Østjylland</v>
      </c>
      <c r="N56" s="14" t="str">
        <f ca="1">IFERROR(__xludf.DUMMYFUNCTION("""COMPUTED_VALUE"""),"Midtjylland")</f>
        <v>Midtjylland</v>
      </c>
      <c r="O56" s="14">
        <f ca="1">IFERROR(__xludf.DUMMYFUNCTION("""COMPUTED_VALUE"""),86114499)</f>
        <v>86114499</v>
      </c>
      <c r="P56" s="14" t="str">
        <f ca="1">IFERROR(__xludf.DUMMYFUNCTION("""COMPUTED_VALUE"""),"617@home.dk")</f>
        <v>617@home.dk</v>
      </c>
      <c r="Q56" s="15" t="str">
        <f ca="1">IFERROR(__xludf.DUMMYFUNCTION("""COMPUTED_VALUE"""),"https://www.boliga.dk/maegler/996")</f>
        <v>https://www.boliga.dk/maegler/996</v>
      </c>
      <c r="R56" s="14" t="str">
        <f ca="1">IFERROR(__xludf.DUMMYFUNCTION("""COMPUTED_VALUE"""),"-")</f>
        <v>-</v>
      </c>
      <c r="S56" s="14" t="str">
        <f ca="1">IFERROR(__xludf.DUMMYFUNCTION("""COMPUTED_VALUE"""),"-")</f>
        <v>-</v>
      </c>
      <c r="T56" s="14" t="str">
        <f ca="1">IFERROR(__xludf.DUMMYFUNCTION("""COMPUTED_VALUE"""),"-")</f>
        <v>-</v>
      </c>
      <c r="U56" s="14">
        <f ca="1">IFERROR(__xludf.DUMMYFUNCTION("""COMPUTED_VALUE"""),26)</f>
        <v>26</v>
      </c>
      <c r="V56" s="14" t="str">
        <f ca="1">IFERROR(__xludf.DUMMYFUNCTION("""COMPUTED_VALUE"""),"8000, 8361, 8260")</f>
        <v>8000, 8361, 8260</v>
      </c>
      <c r="W56" s="14">
        <f ca="1">IFERROR(__xludf.DUMMYFUNCTION("""COMPUTED_VALUE"""),23)</f>
        <v>23</v>
      </c>
      <c r="X56" s="14" t="str">
        <f ca="1">IFERROR(__xludf.DUMMYFUNCTION("""COMPUTED_VALUE"""),"8000, 8210, 8260, 8361")</f>
        <v>8000, 8210, 8260, 8361</v>
      </c>
      <c r="Y56" s="14" t="str">
        <f ca="1">IFERROR(__xludf.DUMMYFUNCTION("""COMPUTED_VALUE"""),"ja")</f>
        <v>ja</v>
      </c>
      <c r="Z56" s="14"/>
      <c r="AA56" s="14"/>
      <c r="AB56" s="14" t="str">
        <f ca="1">IFERROR(__xludf.DUMMYFUNCTION("""COMPUTED_VALUE"""),"x")</f>
        <v>x</v>
      </c>
      <c r="AC56" s="14" t="str">
        <f ca="1">IFERROR(__xludf.DUMMYFUNCTION("""COMPUTED_VALUE"""),"x")</f>
        <v>x</v>
      </c>
    </row>
    <row r="57" spans="1:29" ht="12.5" x14ac:dyDescent="0.25">
      <c r="A57" s="14" t="str">
        <f ca="1">IFERROR(__xludf.DUMMYFUNCTION("""COMPUTED_VALUE"""),"Camilla")</f>
        <v>Camilla</v>
      </c>
      <c r="B57" s="14" t="str">
        <f ca="1">IFERROR(__xludf.DUMMYFUNCTION("""COMPUTED_VALUE"""),"home Åbyhøj / Århus V")</f>
        <v>home Åbyhøj / Århus V</v>
      </c>
      <c r="C57" s="14">
        <f ca="1">IFERROR(__xludf.DUMMYFUNCTION("""COMPUTED_VALUE"""),41374985)</f>
        <v>41374985</v>
      </c>
      <c r="D57" s="14" t="str">
        <f ca="1">IFERROR(__xludf.DUMMYFUNCTION("""COMPUTED_VALUE"""),"MG-JY: 2.499,-")</f>
        <v>MG-JY: 2.499,-</v>
      </c>
      <c r="E57" s="14">
        <f ca="1">IFERROR(__xludf.DUMMYFUNCTION("""COMPUTED_VALUE"""),1201)</f>
        <v>1201</v>
      </c>
      <c r="F57" s="14" t="str">
        <f ca="1">IFERROR(__xludf.DUMMYFUNCTION("""COMPUTED_VALUE"""),"Theis Westergaard ")</f>
        <v xml:space="preserve">Theis Westergaard </v>
      </c>
      <c r="G57" s="14" t="str">
        <f ca="1">IFERROR(__xludf.DUMMYFUNCTION("""COMPUTED_VALUE"""),"west@home.dk")</f>
        <v>west@home.dk</v>
      </c>
      <c r="H57" s="14">
        <f ca="1">IFERROR(__xludf.DUMMYFUNCTION("""COMPUTED_VALUE"""),25268182)</f>
        <v>25268182</v>
      </c>
      <c r="I57" s="14" t="str">
        <f ca="1">IFERROR(__xludf.DUMMYFUNCTION("""COMPUTED_VALUE"""),"Silkeborgvej 253")</f>
        <v>Silkeborgvej 253</v>
      </c>
      <c r="J57" s="14">
        <f ca="1">IFERROR(__xludf.DUMMYFUNCTION("""COMPUTED_VALUE"""),8230)</f>
        <v>8230</v>
      </c>
      <c r="K57" s="14" t="str">
        <f ca="1">IFERROR(__xludf.DUMMYFUNCTION("""COMPUTED_VALUE"""),"Åbyhøj")</f>
        <v>Åbyhøj</v>
      </c>
      <c r="L57" s="14" t="str">
        <f ca="1">IFERROR(__xludf.DUMMYFUNCTION("""COMPUTED_VALUE"""),"Aarhus")</f>
        <v>Aarhus</v>
      </c>
      <c r="M57" s="14" t="str">
        <f ca="1">IFERROR(__xludf.DUMMYFUNCTION("""COMPUTED_VALUE"""),"Østjylland")</f>
        <v>Østjylland</v>
      </c>
      <c r="N57" s="14" t="str">
        <f ca="1">IFERROR(__xludf.DUMMYFUNCTION("""COMPUTED_VALUE"""),"Midtjylland")</f>
        <v>Midtjylland</v>
      </c>
      <c r="O57" s="14">
        <f ca="1">IFERROR(__xludf.DUMMYFUNCTION("""COMPUTED_VALUE"""),86152700)</f>
        <v>86152700</v>
      </c>
      <c r="P57" s="14" t="str">
        <f ca="1">IFERROR(__xludf.DUMMYFUNCTION("""COMPUTED_VALUE"""),"618@home.dk")</f>
        <v>618@home.dk</v>
      </c>
      <c r="Q57" s="15" t="str">
        <f ca="1">IFERROR(__xludf.DUMMYFUNCTION("""COMPUTED_VALUE"""),"https://www.boliga.dk/maegler/934")</f>
        <v>https://www.boliga.dk/maegler/934</v>
      </c>
      <c r="R57" s="14" t="str">
        <f ca="1">IFERROR(__xludf.DUMMYFUNCTION("""COMPUTED_VALUE"""),"-")</f>
        <v>-</v>
      </c>
      <c r="S57" s="14" t="str">
        <f ca="1">IFERROR(__xludf.DUMMYFUNCTION("""COMPUTED_VALUE"""),"-")</f>
        <v>-</v>
      </c>
      <c r="T57" s="14" t="str">
        <f ca="1">IFERROR(__xludf.DUMMYFUNCTION("""COMPUTED_VALUE"""),"-")</f>
        <v>-</v>
      </c>
      <c r="U57" s="14">
        <f ca="1">IFERROR(__xludf.DUMMYFUNCTION("""COMPUTED_VALUE"""),43)</f>
        <v>43</v>
      </c>
      <c r="V57" s="14" t="str">
        <f ca="1">IFERROR(__xludf.DUMMYFUNCTION("""COMPUTED_VALUE"""),"8230, 8210, 8220")</f>
        <v>8230, 8210, 8220</v>
      </c>
      <c r="W57" s="14">
        <f ca="1">IFERROR(__xludf.DUMMYFUNCTION("""COMPUTED_VALUE"""),44)</f>
        <v>44</v>
      </c>
      <c r="X57" s="14" t="str">
        <f ca="1">IFERROR(__xludf.DUMMYFUNCTION("""COMPUTED_VALUE"""),"8230, 8210, 8220")</f>
        <v>8230, 8210, 8220</v>
      </c>
      <c r="Y57" s="14" t="str">
        <f ca="1">IFERROR(__xludf.DUMMYFUNCTION("""COMPUTED_VALUE"""),"ja")</f>
        <v>ja</v>
      </c>
      <c r="Z57" s="14" t="str">
        <f ca="1">IFERROR(__xludf.DUMMYFUNCTION("""COMPUTED_VALUE"""),"ck")</f>
        <v>ck</v>
      </c>
      <c r="AA57" s="14"/>
      <c r="AB57" s="14" t="str">
        <f ca="1">IFERROR(__xludf.DUMMYFUNCTION("""COMPUTED_VALUE"""),"x")</f>
        <v>x</v>
      </c>
      <c r="AC57" s="14" t="str">
        <f ca="1">IFERROR(__xludf.DUMMYFUNCTION("""COMPUTED_VALUE"""),"x")</f>
        <v>x</v>
      </c>
    </row>
    <row r="58" spans="1:29" ht="12.5" x14ac:dyDescent="0.25">
      <c r="A58" s="14" t="str">
        <f ca="1">IFERROR(__xludf.DUMMYFUNCTION("""COMPUTED_VALUE"""),"Camilla")</f>
        <v>Camilla</v>
      </c>
      <c r="B58" s="14" t="str">
        <f ca="1">IFERROR(__xludf.DUMMYFUNCTION("""COMPUTED_VALUE"""),"home Brønderslev")</f>
        <v>home Brønderslev</v>
      </c>
      <c r="C58" s="15">
        <f ca="1">IFERROR(__xludf.DUMMYFUNCTION("""COMPUTED_VALUE"""),40705414)</f>
        <v>40705414</v>
      </c>
      <c r="D58" s="14" t="str">
        <f ca="1">IFERROR(__xludf.DUMMYFUNCTION("""COMPUTED_VALUE"""),"MG-JY: 2.499,-")</f>
        <v>MG-JY: 2.499,-</v>
      </c>
      <c r="E58" s="14">
        <f ca="1">IFERROR(__xludf.DUMMYFUNCTION("""COMPUTED_VALUE"""),1201)</f>
        <v>1201</v>
      </c>
      <c r="F58" s="14" t="str">
        <f ca="1">IFERROR(__xludf.DUMMYFUNCTION("""COMPUTED_VALUE"""),"Pernille Christensen")</f>
        <v>Pernille Christensen</v>
      </c>
      <c r="G58" s="14" t="str">
        <f ca="1">IFERROR(__xludf.DUMMYFUNCTION("""COMPUTED_VALUE"""),"pmchr@home.dk")</f>
        <v>pmchr@home.dk</v>
      </c>
      <c r="H58" s="14">
        <f ca="1">IFERROR(__xludf.DUMMYFUNCTION("""COMPUTED_VALUE"""),81617974)</f>
        <v>81617974</v>
      </c>
      <c r="I58" s="14" t="str">
        <f ca="1">IFERROR(__xludf.DUMMYFUNCTION("""COMPUTED_VALUE"""),"Bredgade 41")</f>
        <v>Bredgade 41</v>
      </c>
      <c r="J58" s="14">
        <f ca="1">IFERROR(__xludf.DUMMYFUNCTION("""COMPUTED_VALUE"""),9700)</f>
        <v>9700</v>
      </c>
      <c r="K58" s="14" t="str">
        <f ca="1">IFERROR(__xludf.DUMMYFUNCTION("""COMPUTED_VALUE"""),"Brønderslev")</f>
        <v>Brønderslev</v>
      </c>
      <c r="L58" s="14" t="str">
        <f ca="1">IFERROR(__xludf.DUMMYFUNCTION("""COMPUTED_VALUE"""),"Brønderslev")</f>
        <v>Brønderslev</v>
      </c>
      <c r="M58" s="14" t="str">
        <f ca="1">IFERROR(__xludf.DUMMYFUNCTION("""COMPUTED_VALUE"""),"Nordjylland")</f>
        <v>Nordjylland</v>
      </c>
      <c r="N58" s="14" t="str">
        <f ca="1">IFERROR(__xludf.DUMMYFUNCTION("""COMPUTED_VALUE"""),"Nordjylland")</f>
        <v>Nordjylland</v>
      </c>
      <c r="O58" s="14">
        <f ca="1">IFERROR(__xludf.DUMMYFUNCTION("""COMPUTED_VALUE"""),98801799)</f>
        <v>98801799</v>
      </c>
      <c r="P58" s="14" t="str">
        <f ca="1">IFERROR(__xludf.DUMMYFUNCTION("""COMPUTED_VALUE"""),"802@home.dk")</f>
        <v>802@home.dk</v>
      </c>
      <c r="Q58" s="15" t="str">
        <f ca="1">IFERROR(__xludf.DUMMYFUNCTION("""COMPUTED_VALUE"""),"https://www.boliga.dk/maegler/964")</f>
        <v>https://www.boliga.dk/maegler/964</v>
      </c>
      <c r="R58" s="14" t="str">
        <f ca="1">IFERROR(__xludf.DUMMYFUNCTION("""COMPUTED_VALUE"""),"-")</f>
        <v>-</v>
      </c>
      <c r="S58" s="14" t="str">
        <f ca="1">IFERROR(__xludf.DUMMYFUNCTION("""COMPUTED_VALUE"""),"-")</f>
        <v>-</v>
      </c>
      <c r="T58" s="14" t="str">
        <f ca="1">IFERROR(__xludf.DUMMYFUNCTION("""COMPUTED_VALUE"""),"-")</f>
        <v>-</v>
      </c>
      <c r="U58" s="14">
        <f ca="1">IFERROR(__xludf.DUMMYFUNCTION("""COMPUTED_VALUE"""),46)</f>
        <v>46</v>
      </c>
      <c r="V58" s="14" t="str">
        <f ca="1">IFERROR(__xludf.DUMMYFUNCTION("""COMPUTED_VALUE"""),"9480, 9352, 9830, 9700, 9750, 9740, 9760")</f>
        <v>9480, 9352, 9830, 9700, 9750, 9740, 9760</v>
      </c>
      <c r="W58" s="14">
        <f ca="1">IFERROR(__xludf.DUMMYFUNCTION("""COMPUTED_VALUE"""),22)</f>
        <v>22</v>
      </c>
      <c r="X58" s="14" t="str">
        <f ca="1">IFERROR(__xludf.DUMMYFUNCTION("""COMPUTED_VALUE"""),"9382, 9480, 9700, 9830, 9740, 9760")</f>
        <v>9382, 9480, 9700, 9830, 9740, 9760</v>
      </c>
      <c r="Y58" s="14" t="str">
        <f ca="1">IFERROR(__xludf.DUMMYFUNCTION("""COMPUTED_VALUE"""),"ja")</f>
        <v>ja</v>
      </c>
      <c r="Z58" s="14"/>
      <c r="AA58" s="14"/>
      <c r="AB58" s="14" t="str">
        <f ca="1">IFERROR(__xludf.DUMMYFUNCTION("""COMPUTED_VALUE"""),"x")</f>
        <v>x</v>
      </c>
      <c r="AC58" s="14" t="str">
        <f ca="1">IFERROR(__xludf.DUMMYFUNCTION("""COMPUTED_VALUE"""),"x")</f>
        <v>x</v>
      </c>
    </row>
    <row r="59" spans="1:29" ht="12.5" x14ac:dyDescent="0.25">
      <c r="A59" s="14" t="str">
        <f ca="1">IFERROR(__xludf.DUMMYFUNCTION("""COMPUTED_VALUE"""),"Camilla")</f>
        <v>Camilla</v>
      </c>
      <c r="B59" s="14" t="str">
        <f ca="1">IFERROR(__xludf.DUMMYFUNCTION("""COMPUTED_VALUE"""),"home Dronninglund")</f>
        <v>home Dronninglund</v>
      </c>
      <c r="C59" s="14">
        <f ca="1">IFERROR(__xludf.DUMMYFUNCTION("""COMPUTED_VALUE"""),39230216)</f>
        <v>39230216</v>
      </c>
      <c r="D59" s="14" t="str">
        <f ca="1">IFERROR(__xludf.DUMMYFUNCTION("""COMPUTED_VALUE"""),"MG-PM-JY: 1.949,-")</f>
        <v>MG-PM-JY: 1.949,-</v>
      </c>
      <c r="E59" s="14">
        <f ca="1">IFERROR(__xludf.DUMMYFUNCTION("""COMPUTED_VALUE"""),1203)</f>
        <v>1203</v>
      </c>
      <c r="F59" s="14" t="str">
        <f ca="1">IFERROR(__xludf.DUMMYFUNCTION("""COMPUTED_VALUE"""),"Mark Frost")</f>
        <v>Mark Frost</v>
      </c>
      <c r="G59" s="14" t="str">
        <f ca="1">IFERROR(__xludf.DUMMYFUNCTION("""COMPUTED_VALUE"""),"frost@home.dk")</f>
        <v>frost@home.dk</v>
      </c>
      <c r="H59" s="14">
        <f ca="1">IFERROR(__xludf.DUMMYFUNCTION("""COMPUTED_VALUE"""),22144066)</f>
        <v>22144066</v>
      </c>
      <c r="I59" s="14" t="str">
        <f ca="1">IFERROR(__xludf.DUMMYFUNCTION("""COMPUTED_VALUE"""),"Slotsgade 58")</f>
        <v>Slotsgade 58</v>
      </c>
      <c r="J59" s="14">
        <f ca="1">IFERROR(__xludf.DUMMYFUNCTION("""COMPUTED_VALUE"""),9330)</f>
        <v>9330</v>
      </c>
      <c r="K59" s="14" t="str">
        <f ca="1">IFERROR(__xludf.DUMMYFUNCTION("""COMPUTED_VALUE"""),"Dronninglund")</f>
        <v>Dronninglund</v>
      </c>
      <c r="L59" s="14" t="str">
        <f ca="1">IFERROR(__xludf.DUMMYFUNCTION("""COMPUTED_VALUE"""),"Brønderslev")</f>
        <v>Brønderslev</v>
      </c>
      <c r="M59" s="14" t="str">
        <f ca="1">IFERROR(__xludf.DUMMYFUNCTION("""COMPUTED_VALUE"""),"Nordjylland")</f>
        <v>Nordjylland</v>
      </c>
      <c r="N59" s="14" t="str">
        <f ca="1">IFERROR(__xludf.DUMMYFUNCTION("""COMPUTED_VALUE"""),"Nordjylland")</f>
        <v>Nordjylland</v>
      </c>
      <c r="O59" s="14">
        <f ca="1">IFERROR(__xludf.DUMMYFUNCTION("""COMPUTED_VALUE"""),96383800)</f>
        <v>96383800</v>
      </c>
      <c r="P59" s="14" t="str">
        <f ca="1">IFERROR(__xludf.DUMMYFUNCTION("""COMPUTED_VALUE"""),"824@home.dk")</f>
        <v>824@home.dk</v>
      </c>
      <c r="Q59" s="15" t="str">
        <f ca="1">IFERROR(__xludf.DUMMYFUNCTION("""COMPUTED_VALUE"""),"https://www.boliga.dk/maegler/711")</f>
        <v>https://www.boliga.dk/maegler/711</v>
      </c>
      <c r="R59" s="14" t="str">
        <f ca="1">IFERROR(__xludf.DUMMYFUNCTION("""COMPUTED_VALUE"""),"-")</f>
        <v>-</v>
      </c>
      <c r="S59" s="14" t="str">
        <f ca="1">IFERROR(__xludf.DUMMYFUNCTION("""COMPUTED_VALUE"""),"-")</f>
        <v>-</v>
      </c>
      <c r="T59" s="14" t="str">
        <f ca="1">IFERROR(__xludf.DUMMYFUNCTION("""COMPUTED_VALUE"""),"-")</f>
        <v>-</v>
      </c>
      <c r="U59" s="14">
        <f ca="1">IFERROR(__xludf.DUMMYFUNCTION("""COMPUTED_VALUE"""),57)</f>
        <v>57</v>
      </c>
      <c r="V59" s="14" t="str">
        <f ca="1">IFERROR(__xludf.DUMMYFUNCTION("""COMPUTED_VALUE"""),"9340, 9320, 9330")</f>
        <v>9340, 9320, 9330</v>
      </c>
      <c r="W59" s="14">
        <f ca="1">IFERROR(__xludf.DUMMYFUNCTION("""COMPUTED_VALUE"""),14)</f>
        <v>14</v>
      </c>
      <c r="X59" s="14" t="str">
        <f ca="1">IFERROR(__xludf.DUMMYFUNCTION("""COMPUTED_VALUE"""),"9320, 9330, 9340")</f>
        <v>9320, 9330, 9340</v>
      </c>
      <c r="Y59" s="14" t="str">
        <f ca="1">IFERROR(__xludf.DUMMYFUNCTION("""COMPUTED_VALUE"""),"ja")</f>
        <v>ja</v>
      </c>
      <c r="Z59" s="14"/>
      <c r="AA59" s="14"/>
      <c r="AB59" s="14" t="str">
        <f ca="1">IFERROR(__xludf.DUMMYFUNCTION("""COMPUTED_VALUE"""),"x")</f>
        <v>x</v>
      </c>
      <c r="AC59" s="14" t="str">
        <f ca="1">IFERROR(__xludf.DUMMYFUNCTION("""COMPUTED_VALUE"""),"x")</f>
        <v>x</v>
      </c>
    </row>
    <row r="60" spans="1:29" ht="12.5" x14ac:dyDescent="0.25">
      <c r="A60" s="14" t="str">
        <f ca="1">IFERROR(__xludf.DUMMYFUNCTION("""COMPUTED_VALUE"""),"Camilla")</f>
        <v>Camilla</v>
      </c>
      <c r="B60" s="14" t="str">
        <f ca="1">IFERROR(__xludf.DUMMYFUNCTION("""COMPUTED_VALUE"""),"home Hals")</f>
        <v>home Hals</v>
      </c>
      <c r="C60" s="14">
        <f ca="1">IFERROR(__xludf.DUMMYFUNCTION("""COMPUTED_VALUE"""),39230216)</f>
        <v>39230216</v>
      </c>
      <c r="D60" s="14" t="str">
        <f ca="1">IFERROR(__xludf.DUMMYFUNCTION("""COMPUTED_VALUE"""),"MG-PM-JY: 1.949,-")</f>
        <v>MG-PM-JY: 1.949,-</v>
      </c>
      <c r="E60" s="14">
        <f ca="1">IFERROR(__xludf.DUMMYFUNCTION("""COMPUTED_VALUE"""),1203)</f>
        <v>1203</v>
      </c>
      <c r="F60" s="14" t="str">
        <f ca="1">IFERROR(__xludf.DUMMYFUNCTION("""COMPUTED_VALUE"""),"Mark Frost")</f>
        <v>Mark Frost</v>
      </c>
      <c r="G60" s="14" t="str">
        <f ca="1">IFERROR(__xludf.DUMMYFUNCTION("""COMPUTED_VALUE"""),"frost@home.dk")</f>
        <v>frost@home.dk</v>
      </c>
      <c r="H60" s="14">
        <f ca="1">IFERROR(__xludf.DUMMYFUNCTION("""COMPUTED_VALUE"""),22144066)</f>
        <v>22144066</v>
      </c>
      <c r="I60" s="14" t="str">
        <f ca="1">IFERROR(__xludf.DUMMYFUNCTION("""COMPUTED_VALUE"""),"Midtergade 47")</f>
        <v>Midtergade 47</v>
      </c>
      <c r="J60" s="14">
        <f ca="1">IFERROR(__xludf.DUMMYFUNCTION("""COMPUTED_VALUE"""),9370)</f>
        <v>9370</v>
      </c>
      <c r="K60" s="14" t="str">
        <f ca="1">IFERROR(__xludf.DUMMYFUNCTION("""COMPUTED_VALUE"""),"Hals")</f>
        <v>Hals</v>
      </c>
      <c r="L60" s="14" t="str">
        <f ca="1">IFERROR(__xludf.DUMMYFUNCTION("""COMPUTED_VALUE"""),"Aalborg")</f>
        <v>Aalborg</v>
      </c>
      <c r="M60" s="14" t="str">
        <f ca="1">IFERROR(__xludf.DUMMYFUNCTION("""COMPUTED_VALUE"""),"Nordjylland")</f>
        <v>Nordjylland</v>
      </c>
      <c r="N60" s="14" t="str">
        <f ca="1">IFERROR(__xludf.DUMMYFUNCTION("""COMPUTED_VALUE"""),"Nordjylland")</f>
        <v>Nordjylland</v>
      </c>
      <c r="O60" s="14">
        <f ca="1">IFERROR(__xludf.DUMMYFUNCTION("""COMPUTED_VALUE"""),98252744)</f>
        <v>98252744</v>
      </c>
      <c r="P60" s="14" t="str">
        <f ca="1">IFERROR(__xludf.DUMMYFUNCTION("""COMPUTED_VALUE"""),"828@home.dk")</f>
        <v>828@home.dk</v>
      </c>
      <c r="Q60" s="15" t="str">
        <f ca="1">IFERROR(__xludf.DUMMYFUNCTION("""COMPUTED_VALUE"""),"https://www.boliga.dk/maegler/1000")</f>
        <v>https://www.boliga.dk/maegler/1000</v>
      </c>
      <c r="R60" s="14" t="str">
        <f ca="1">IFERROR(__xludf.DUMMYFUNCTION("""COMPUTED_VALUE"""),"-")</f>
        <v>-</v>
      </c>
      <c r="S60" s="14" t="str">
        <f ca="1">IFERROR(__xludf.DUMMYFUNCTION("""COMPUTED_VALUE"""),"-")</f>
        <v>-</v>
      </c>
      <c r="T60" s="14" t="str">
        <f ca="1">IFERROR(__xludf.DUMMYFUNCTION("""COMPUTED_VALUE"""),"-")</f>
        <v>-</v>
      </c>
      <c r="U60" s="14">
        <f ca="1">IFERROR(__xludf.DUMMYFUNCTION("""COMPUTED_VALUE"""),40)</f>
        <v>40</v>
      </c>
      <c r="V60" s="14" t="str">
        <f ca="1">IFERROR(__xludf.DUMMYFUNCTION("""COMPUTED_VALUE"""),"9340, 9320, 9362, 9370")</f>
        <v>9340, 9320, 9362, 9370</v>
      </c>
      <c r="W60" s="14">
        <f ca="1">IFERROR(__xludf.DUMMYFUNCTION("""COMPUTED_VALUE"""),19)</f>
        <v>19</v>
      </c>
      <c r="X60" s="14" t="str">
        <f ca="1">IFERROR(__xludf.DUMMYFUNCTION("""COMPUTED_VALUE"""),"9362, 9370")</f>
        <v>9362, 9370</v>
      </c>
      <c r="Y60" s="14" t="str">
        <f ca="1">IFERROR(__xludf.DUMMYFUNCTION("""COMPUTED_VALUE"""),"ja")</f>
        <v>ja</v>
      </c>
      <c r="Z60" s="14"/>
      <c r="AA60" s="14"/>
      <c r="AB60" s="14" t="str">
        <f ca="1">IFERROR(__xludf.DUMMYFUNCTION("""COMPUTED_VALUE"""),"x")</f>
        <v>x</v>
      </c>
      <c r="AC60" s="14" t="str">
        <f ca="1">IFERROR(__xludf.DUMMYFUNCTION("""COMPUTED_VALUE"""),"x")</f>
        <v>x</v>
      </c>
    </row>
    <row r="61" spans="1:29" ht="12.5" x14ac:dyDescent="0.25">
      <c r="A61" s="14" t="str">
        <f ca="1">IFERROR(__xludf.DUMMYFUNCTION("""COMPUTED_VALUE"""),"Camilla")</f>
        <v>Camilla</v>
      </c>
      <c r="B61" s="14" t="str">
        <f ca="1">IFERROR(__xludf.DUMMYFUNCTION("""COMPUTED_VALUE"""),"home Aabybro - Brovst")</f>
        <v>home Aabybro - Brovst</v>
      </c>
      <c r="C61" s="14">
        <f ca="1">IFERROR(__xludf.DUMMYFUNCTION("""COMPUTED_VALUE"""),39230216)</f>
        <v>39230216</v>
      </c>
      <c r="D61" s="14" t="str">
        <f ca="1">IFERROR(__xludf.DUMMYFUNCTION("""COMPUTED_VALUE"""),"MG-PM-JY: 1.949,-")</f>
        <v>MG-PM-JY: 1.949,-</v>
      </c>
      <c r="E61" s="14">
        <f ca="1">IFERROR(__xludf.DUMMYFUNCTION("""COMPUTED_VALUE"""),1203)</f>
        <v>1203</v>
      </c>
      <c r="F61" s="14" t="str">
        <f ca="1">IFERROR(__xludf.DUMMYFUNCTION("""COMPUTED_VALUE"""),"Mark Frost")</f>
        <v>Mark Frost</v>
      </c>
      <c r="G61" s="14" t="str">
        <f ca="1">IFERROR(__xludf.DUMMYFUNCTION("""COMPUTED_VALUE"""),"frost@home.dk")</f>
        <v>frost@home.dk</v>
      </c>
      <c r="H61" s="14">
        <f ca="1">IFERROR(__xludf.DUMMYFUNCTION("""COMPUTED_VALUE"""),22144066)</f>
        <v>22144066</v>
      </c>
      <c r="I61" s="14" t="str">
        <f ca="1">IFERROR(__xludf.DUMMYFUNCTION("""COMPUTED_VALUE"""),"Aabybro centeret 3a")</f>
        <v>Aabybro centeret 3a</v>
      </c>
      <c r="J61" s="14">
        <f ca="1">IFERROR(__xludf.DUMMYFUNCTION("""COMPUTED_VALUE"""),9440)</f>
        <v>9440</v>
      </c>
      <c r="K61" s="14" t="str">
        <f ca="1">IFERROR(__xludf.DUMMYFUNCTION("""COMPUTED_VALUE"""),"Aabybro")</f>
        <v>Aabybro</v>
      </c>
      <c r="L61" s="14"/>
      <c r="M61" s="14"/>
      <c r="N61" s="14"/>
      <c r="O61" s="14">
        <f ca="1">IFERROR(__xludf.DUMMYFUNCTION("""COMPUTED_VALUE"""),96383801)</f>
        <v>96383801</v>
      </c>
      <c r="P61" s="14" t="str">
        <f ca="1">IFERROR(__xludf.DUMMYFUNCTION("""COMPUTED_VALUE"""),"aabybro@home.dk")</f>
        <v>aabybro@home.dk</v>
      </c>
      <c r="Q61" s="15" t="str">
        <f ca="1">IFERROR(__xludf.DUMMYFUNCTION("""COMPUTED_VALUE"""),"https://www.boliga.dk/maegler/29122")</f>
        <v>https://www.boliga.dk/maegler/29122</v>
      </c>
      <c r="R61" s="14"/>
      <c r="S61" s="14"/>
      <c r="T61" s="14"/>
      <c r="U61" s="14"/>
      <c r="V61" s="14"/>
      <c r="W61" s="14"/>
      <c r="X61" s="14"/>
      <c r="Y61" s="14" t="str">
        <f ca="1">IFERROR(__xludf.DUMMYFUNCTION("""COMPUTED_VALUE"""),"ja")</f>
        <v>ja</v>
      </c>
      <c r="Z61" s="14"/>
      <c r="AA61" s="14"/>
      <c r="AB61" s="14" t="str">
        <f ca="1">IFERROR(__xludf.DUMMYFUNCTION("""COMPUTED_VALUE"""),"x")</f>
        <v>x</v>
      </c>
      <c r="AC61" s="14"/>
    </row>
    <row r="62" spans="1:29" ht="12.5" x14ac:dyDescent="0.25">
      <c r="A62" s="14" t="str">
        <f ca="1">IFERROR(__xludf.DUMMYFUNCTION("""COMPUTED_VALUE"""),"Camilla")</f>
        <v>Camilla</v>
      </c>
      <c r="B62" s="14" t="str">
        <f ca="1">IFERROR(__xludf.DUMMYFUNCTION("""COMPUTED_VALUE"""),"home Hobro")</f>
        <v>home Hobro</v>
      </c>
      <c r="C62" s="15">
        <f ca="1">IFERROR(__xludf.DUMMYFUNCTION("""COMPUTED_VALUE"""),41460105)</f>
        <v>41460105</v>
      </c>
      <c r="D62" s="14" t="str">
        <f ca="1">IFERROR(__xludf.DUMMYFUNCTION("""COMPUTED_VALUE"""),"MG-JY: 2.499,-")</f>
        <v>MG-JY: 2.499,-</v>
      </c>
      <c r="E62" s="14">
        <f ca="1">IFERROR(__xludf.DUMMYFUNCTION("""COMPUTED_VALUE"""),1201)</f>
        <v>1201</v>
      </c>
      <c r="F62" s="14" t="str">
        <f ca="1">IFERROR(__xludf.DUMMYFUNCTION("""COMPUTED_VALUE"""),"Michael Myrtue")</f>
        <v>Michael Myrtue</v>
      </c>
      <c r="G62" s="14" t="str">
        <f ca="1">IFERROR(__xludf.DUMMYFUNCTION("""COMPUTED_VALUE"""),"myrtue@home.dk")</f>
        <v>myrtue@home.dk</v>
      </c>
      <c r="H62" s="14">
        <f ca="1">IFERROR(__xludf.DUMMYFUNCTION("""COMPUTED_VALUE"""),22324900)</f>
        <v>22324900</v>
      </c>
      <c r="I62" s="14" t="str">
        <f ca="1">IFERROR(__xludf.DUMMYFUNCTION("""COMPUTED_VALUE"""),"Østergade 7 B")</f>
        <v>Østergade 7 B</v>
      </c>
      <c r="J62" s="14">
        <f ca="1">IFERROR(__xludf.DUMMYFUNCTION("""COMPUTED_VALUE"""),9500)</f>
        <v>9500</v>
      </c>
      <c r="K62" s="14" t="str">
        <f ca="1">IFERROR(__xludf.DUMMYFUNCTION("""COMPUTED_VALUE"""),"Hobro")</f>
        <v>Hobro</v>
      </c>
      <c r="L62" s="14" t="str">
        <f ca="1">IFERROR(__xludf.DUMMYFUNCTION("""COMPUTED_VALUE"""),"Mariagerfjord")</f>
        <v>Mariagerfjord</v>
      </c>
      <c r="M62" s="14" t="str">
        <f ca="1">IFERROR(__xludf.DUMMYFUNCTION("""COMPUTED_VALUE"""),"Nordjylland")</f>
        <v>Nordjylland</v>
      </c>
      <c r="N62" s="14" t="str">
        <f ca="1">IFERROR(__xludf.DUMMYFUNCTION("""COMPUTED_VALUE"""),"Nordjylland")</f>
        <v>Nordjylland</v>
      </c>
      <c r="O62" s="14">
        <f ca="1">IFERROR(__xludf.DUMMYFUNCTION("""COMPUTED_VALUE"""),98511201)</f>
        <v>98511201</v>
      </c>
      <c r="P62" s="14" t="str">
        <f ca="1">IFERROR(__xludf.DUMMYFUNCTION("""COMPUTED_VALUE"""),"811@home.dk")</f>
        <v>811@home.dk</v>
      </c>
      <c r="Q62" s="15" t="str">
        <f ca="1">IFERROR(__xludf.DUMMYFUNCTION("""COMPUTED_VALUE"""),"https://www.boliga.dk/maegler/640")</f>
        <v>https://www.boliga.dk/maegler/640</v>
      </c>
      <c r="R62" s="14" t="str">
        <f ca="1">IFERROR(__xludf.DUMMYFUNCTION("""COMPUTED_VALUE"""),"-")</f>
        <v>-</v>
      </c>
      <c r="S62" s="14" t="str">
        <f ca="1">IFERROR(__xludf.DUMMYFUNCTION("""COMPUTED_VALUE"""),"-")</f>
        <v>-</v>
      </c>
      <c r="T62" s="14" t="str">
        <f ca="1">IFERROR(__xludf.DUMMYFUNCTION("""COMPUTED_VALUE"""),"-")</f>
        <v>-</v>
      </c>
      <c r="U62" s="14">
        <f ca="1">IFERROR(__xludf.DUMMYFUNCTION("""COMPUTED_VALUE"""),28)</f>
        <v>28</v>
      </c>
      <c r="V62" s="14" t="str">
        <f ca="1">IFERROR(__xludf.DUMMYFUNCTION("""COMPUTED_VALUE"""),"9574, 9620, 8990, 9600, 9500, 9550, 9560")</f>
        <v>9574, 9620, 8990, 9600, 9500, 9550, 9560</v>
      </c>
      <c r="W62" s="14">
        <f ca="1">IFERROR(__xludf.DUMMYFUNCTION("""COMPUTED_VALUE"""),10)</f>
        <v>10</v>
      </c>
      <c r="X62" s="14" t="str">
        <f ca="1">IFERROR(__xludf.DUMMYFUNCTION("""COMPUTED_VALUE"""),"9640, 9500, 9550, 9560")</f>
        <v>9640, 9500, 9550, 9560</v>
      </c>
      <c r="Y62" s="14" t="str">
        <f ca="1">IFERROR(__xludf.DUMMYFUNCTION("""COMPUTED_VALUE"""),"ja")</f>
        <v>ja</v>
      </c>
      <c r="Z62" s="14"/>
      <c r="AA62" s="14"/>
      <c r="AB62" s="14" t="str">
        <f ca="1">IFERROR(__xludf.DUMMYFUNCTION("""COMPUTED_VALUE"""),"x")</f>
        <v>x</v>
      </c>
      <c r="AC62" s="14" t="str">
        <f ca="1">IFERROR(__xludf.DUMMYFUNCTION("""COMPUTED_VALUE"""),"x")</f>
        <v>x</v>
      </c>
    </row>
    <row r="63" spans="1:29" ht="12.5" x14ac:dyDescent="0.25">
      <c r="A63" s="14" t="str">
        <f ca="1">IFERROR(__xludf.DUMMYFUNCTION("""COMPUTED_VALUE"""),"Camilla")</f>
        <v>Camilla</v>
      </c>
      <c r="B63" s="14" t="str">
        <f ca="1">IFERROR(__xludf.DUMMYFUNCTION("""COMPUTED_VALUE"""),"home Støvring")</f>
        <v>home Støvring</v>
      </c>
      <c r="C63" s="15">
        <f ca="1">IFERROR(__xludf.DUMMYFUNCTION("""COMPUTED_VALUE"""),40348379)</f>
        <v>40348379</v>
      </c>
      <c r="D63" s="14" t="str">
        <f ca="1">IFERROR(__xludf.DUMMYFUNCTION("""COMPUTED_VALUE"""),"MG-JY: 2.499,-")</f>
        <v>MG-JY: 2.499,-</v>
      </c>
      <c r="E63" s="14">
        <f ca="1">IFERROR(__xludf.DUMMYFUNCTION("""COMPUTED_VALUE"""),1201)</f>
        <v>1201</v>
      </c>
      <c r="F63" s="14" t="str">
        <f ca="1">IFERROR(__xludf.DUMMYFUNCTION("""COMPUTED_VALUE"""),"Anders Nymand")</f>
        <v>Anders Nymand</v>
      </c>
      <c r="G63" s="14" t="str">
        <f ca="1">IFERROR(__xludf.DUMMYFUNCTION("""COMPUTED_VALUE"""),"nymand@home.dk")</f>
        <v>nymand@home.dk</v>
      </c>
      <c r="H63" s="14">
        <f ca="1">IFERROR(__xludf.DUMMYFUNCTION("""COMPUTED_VALUE"""),25632931)</f>
        <v>25632931</v>
      </c>
      <c r="I63" s="14" t="str">
        <f ca="1">IFERROR(__xludf.DUMMYFUNCTION("""COMPUTED_VALUE"""),"Jernbanegade 10A")</f>
        <v>Jernbanegade 10A</v>
      </c>
      <c r="J63" s="14">
        <f ca="1">IFERROR(__xludf.DUMMYFUNCTION("""COMPUTED_VALUE"""),9530)</f>
        <v>9530</v>
      </c>
      <c r="K63" s="14" t="str">
        <f ca="1">IFERROR(__xludf.DUMMYFUNCTION("""COMPUTED_VALUE"""),"Støvring")</f>
        <v>Støvring</v>
      </c>
      <c r="L63" s="14" t="str">
        <f ca="1">IFERROR(__xludf.DUMMYFUNCTION("""COMPUTED_VALUE"""),"Rebild")</f>
        <v>Rebild</v>
      </c>
      <c r="M63" s="14" t="str">
        <f ca="1">IFERROR(__xludf.DUMMYFUNCTION("""COMPUTED_VALUE"""),"Nordjylland")</f>
        <v>Nordjylland</v>
      </c>
      <c r="N63" s="14" t="str">
        <f ca="1">IFERROR(__xludf.DUMMYFUNCTION("""COMPUTED_VALUE"""),"Nordjylland")</f>
        <v>Nordjylland</v>
      </c>
      <c r="O63" s="14">
        <f ca="1">IFERROR(__xludf.DUMMYFUNCTION("""COMPUTED_VALUE"""),98373000)</f>
        <v>98373000</v>
      </c>
      <c r="P63" s="14" t="str">
        <f ca="1">IFERROR(__xludf.DUMMYFUNCTION("""COMPUTED_VALUE"""),"832@home.dk")</f>
        <v>832@home.dk</v>
      </c>
      <c r="Q63" s="15" t="str">
        <f ca="1">IFERROR(__xludf.DUMMYFUNCTION("""COMPUTED_VALUE"""),"https://www.boliga.dk/maegler/25494")</f>
        <v>https://www.boliga.dk/maegler/25494</v>
      </c>
      <c r="R63" s="14" t="str">
        <f ca="1">IFERROR(__xludf.DUMMYFUNCTION("""COMPUTED_VALUE"""),"-")</f>
        <v>-</v>
      </c>
      <c r="S63" s="14" t="str">
        <f ca="1">IFERROR(__xludf.DUMMYFUNCTION("""COMPUTED_VALUE"""),"-")</f>
        <v>-</v>
      </c>
      <c r="T63" s="14" t="str">
        <f ca="1">IFERROR(__xludf.DUMMYFUNCTION("""COMPUTED_VALUE"""),"-")</f>
        <v>-</v>
      </c>
      <c r="U63" s="14">
        <f ca="1">IFERROR(__xludf.DUMMYFUNCTION("""COMPUTED_VALUE"""),28)</f>
        <v>28</v>
      </c>
      <c r="V63" s="14" t="str">
        <f ca="1">IFERROR(__xludf.DUMMYFUNCTION("""COMPUTED_VALUE"""),"9240, 9520, 9293, 9510, 9541, 9230, 9500, 9610, 9530")</f>
        <v>9240, 9520, 9293, 9510, 9541, 9230, 9500, 9610, 9530</v>
      </c>
      <c r="W63" s="14">
        <f ca="1">IFERROR(__xludf.DUMMYFUNCTION("""COMPUTED_VALUE"""),19)</f>
        <v>19</v>
      </c>
      <c r="X63" s="14" t="str">
        <f ca="1">IFERROR(__xludf.DUMMYFUNCTION("""COMPUTED_VALUE"""),"9541, 9520, 9510, 9530")</f>
        <v>9541, 9520, 9510, 9530</v>
      </c>
      <c r="Y63" s="14" t="str">
        <f ca="1">IFERROR(__xludf.DUMMYFUNCTION("""COMPUTED_VALUE"""),"ja")</f>
        <v>ja</v>
      </c>
      <c r="Z63" s="14"/>
      <c r="AA63" s="14"/>
      <c r="AB63" s="14" t="str">
        <f ca="1">IFERROR(__xludf.DUMMYFUNCTION("""COMPUTED_VALUE"""),"x")</f>
        <v>x</v>
      </c>
      <c r="AC63" s="14" t="str">
        <f ca="1">IFERROR(__xludf.DUMMYFUNCTION("""COMPUTED_VALUE"""),"x")</f>
        <v>x</v>
      </c>
    </row>
    <row r="64" spans="1:29" ht="12.5" x14ac:dyDescent="0.25">
      <c r="A64" s="14" t="str">
        <f ca="1">IFERROR(__xludf.DUMMYFUNCTION("""COMPUTED_VALUE"""),"Camilla")</f>
        <v>Camilla</v>
      </c>
      <c r="B64" s="14" t="str">
        <f ca="1">IFERROR(__xludf.DUMMYFUNCTION("""COMPUTED_VALUE"""),"home Thisted")</f>
        <v>home Thisted</v>
      </c>
      <c r="C64" s="15">
        <f ca="1">IFERROR(__xludf.DUMMYFUNCTION("""COMPUTED_VALUE"""),37470236)</f>
        <v>37470236</v>
      </c>
      <c r="D64" s="14" t="str">
        <f ca="1">IFERROR(__xludf.DUMMYFUNCTION("""COMPUTED_VALUE"""),"MG-JY: 2.499,-")</f>
        <v>MG-JY: 2.499,-</v>
      </c>
      <c r="E64" s="14">
        <f ca="1">IFERROR(__xludf.DUMMYFUNCTION("""COMPUTED_VALUE"""),1201)</f>
        <v>1201</v>
      </c>
      <c r="F64" s="14" t="str">
        <f ca="1">IFERROR(__xludf.DUMMYFUNCTION("""COMPUTED_VALUE"""),"Jens Kjærsgaard")</f>
        <v>Jens Kjærsgaard</v>
      </c>
      <c r="G64" s="14" t="str">
        <f ca="1">IFERROR(__xludf.DUMMYFUNCTION("""COMPUTED_VALUE"""),"jenk@home.dk")</f>
        <v>jenk@home.dk</v>
      </c>
      <c r="H64" s="14">
        <f ca="1">IFERROR(__xludf.DUMMYFUNCTION("""COMPUTED_VALUE"""),22870064)</f>
        <v>22870064</v>
      </c>
      <c r="I64" s="14" t="str">
        <f ca="1">IFERROR(__xludf.DUMMYFUNCTION("""COMPUTED_VALUE"""),"Asylgade 17")</f>
        <v>Asylgade 17</v>
      </c>
      <c r="J64" s="14">
        <f ca="1">IFERROR(__xludf.DUMMYFUNCTION("""COMPUTED_VALUE"""),7700)</f>
        <v>7700</v>
      </c>
      <c r="K64" s="14" t="str">
        <f ca="1">IFERROR(__xludf.DUMMYFUNCTION("""COMPUTED_VALUE"""),"Thisted")</f>
        <v>Thisted</v>
      </c>
      <c r="L64" s="14" t="str">
        <f ca="1">IFERROR(__xludf.DUMMYFUNCTION("""COMPUTED_VALUE"""),"Thisted")</f>
        <v>Thisted</v>
      </c>
      <c r="M64" s="14" t="str">
        <f ca="1">IFERROR(__xludf.DUMMYFUNCTION("""COMPUTED_VALUE"""),"Nordjylland")</f>
        <v>Nordjylland</v>
      </c>
      <c r="N64" s="14" t="str">
        <f ca="1">IFERROR(__xludf.DUMMYFUNCTION("""COMPUTED_VALUE"""),"Nordjylland")</f>
        <v>Nordjylland</v>
      </c>
      <c r="O64" s="14">
        <f ca="1">IFERROR(__xludf.DUMMYFUNCTION("""COMPUTED_VALUE"""),96182525)</f>
        <v>96182525</v>
      </c>
      <c r="P64" s="14" t="str">
        <f ca="1">IFERROR(__xludf.DUMMYFUNCTION("""COMPUTED_VALUE"""),"826@home.dk")</f>
        <v>826@home.dk</v>
      </c>
      <c r="Q64" s="15" t="str">
        <f ca="1">IFERROR(__xludf.DUMMYFUNCTION("""COMPUTED_VALUE"""),"https://www.boliga.dk/maegler/1")</f>
        <v>https://www.boliga.dk/maegler/1</v>
      </c>
      <c r="R64" s="14" t="str">
        <f ca="1">IFERROR(__xludf.DUMMYFUNCTION("""COMPUTED_VALUE"""),"-")</f>
        <v>-</v>
      </c>
      <c r="S64" s="14" t="str">
        <f ca="1">IFERROR(__xludf.DUMMYFUNCTION("""COMPUTED_VALUE"""),"-")</f>
        <v>-</v>
      </c>
      <c r="T64" s="14" t="str">
        <f ca="1">IFERROR(__xludf.DUMMYFUNCTION("""COMPUTED_VALUE"""),"-")</f>
        <v>-</v>
      </c>
      <c r="U64" s="14">
        <f ca="1">IFERROR(__xludf.DUMMYFUNCTION("""COMPUTED_VALUE"""),116)</f>
        <v>116</v>
      </c>
      <c r="V64" s="14" t="str">
        <f ca="1">IFERROR(__xludf.DUMMYFUNCTION("""COMPUTED_VALUE"""),"7960, 7741, 7990, 7752, 7700, 7730, 7950, 7760, 7742, 7770, 7900")</f>
        <v>7960, 7741, 7990, 7752, 7700, 7730, 7950, 7760, 7742, 7770, 7900</v>
      </c>
      <c r="W64" s="14">
        <f ca="1">IFERROR(__xludf.DUMMYFUNCTION("""COMPUTED_VALUE"""),57)</f>
        <v>57</v>
      </c>
      <c r="X64" s="14" t="str">
        <f ca="1">IFERROR(__xludf.DUMMYFUNCTION("""COMPUTED_VALUE"""),"7980, 7950, 7752, 7700, 7730, 7742, 7760, 7770, 7900")</f>
        <v>7980, 7950, 7752, 7700, 7730, 7742, 7760, 7770, 7900</v>
      </c>
      <c r="Y64" s="14" t="str">
        <f ca="1">IFERROR(__xludf.DUMMYFUNCTION("""COMPUTED_VALUE"""),"ja")</f>
        <v>ja</v>
      </c>
      <c r="Z64" s="14"/>
      <c r="AA64" s="14"/>
      <c r="AB64" s="14" t="str">
        <f ca="1">IFERROR(__xludf.DUMMYFUNCTION("""COMPUTED_VALUE"""),"x")</f>
        <v>x</v>
      </c>
      <c r="AC64" s="14" t="str">
        <f ca="1">IFERROR(__xludf.DUMMYFUNCTION("""COMPUTED_VALUE"""),"x")</f>
        <v>x</v>
      </c>
    </row>
    <row r="65" spans="1:29" ht="12.5" x14ac:dyDescent="0.25">
      <c r="A65" s="14" t="str">
        <f ca="1">IFERROR(__xludf.DUMMYFUNCTION("""COMPUTED_VALUE"""),"Camilla")</f>
        <v>Camilla</v>
      </c>
      <c r="B65" s="14" t="str">
        <f ca="1">IFERROR(__xludf.DUMMYFUNCTION("""COMPUTED_VALUE"""),"home Bramsnæs")</f>
        <v>home Bramsnæs</v>
      </c>
      <c r="C65" s="14">
        <f ca="1">IFERROR(__xludf.DUMMYFUNCTION("""COMPUTED_VALUE"""),28850506)</f>
        <v>28850506</v>
      </c>
      <c r="D65" s="14" t="str">
        <f ca="1">IFERROR(__xludf.DUMMYFUNCTION("""COMPUTED_VALUE"""),"MG-SJ: 3.499,-")</f>
        <v>MG-SJ: 3.499,-</v>
      </c>
      <c r="E65" s="14">
        <f ca="1">IFERROR(__xludf.DUMMYFUNCTION("""COMPUTED_VALUE"""),1202)</f>
        <v>1202</v>
      </c>
      <c r="F65" s="14" t="str">
        <f ca="1">IFERROR(__xludf.DUMMYFUNCTION("""COMPUTED_VALUE"""),"Lars Clemmensen")</f>
        <v>Lars Clemmensen</v>
      </c>
      <c r="G65" s="14" t="str">
        <f ca="1">IFERROR(__xludf.DUMMYFUNCTION("""COMPUTED_VALUE"""),"larscl@home.dk")</f>
        <v>larscl@home.dk</v>
      </c>
      <c r="H65" s="14">
        <f ca="1">IFERROR(__xludf.DUMMYFUNCTION("""COMPUTED_VALUE"""),22100084)</f>
        <v>22100084</v>
      </c>
      <c r="I65" s="14" t="str">
        <f ca="1">IFERROR(__xludf.DUMMYFUNCTION("""COMPUTED_VALUE"""),"Bygaden 50")</f>
        <v>Bygaden 50</v>
      </c>
      <c r="J65" s="14">
        <f ca="1">IFERROR(__xludf.DUMMYFUNCTION("""COMPUTED_VALUE"""),4070)</f>
        <v>4070</v>
      </c>
      <c r="K65" s="14" t="str">
        <f ca="1">IFERROR(__xludf.DUMMYFUNCTION("""COMPUTED_VALUE"""),"Kirke Hyllinge")</f>
        <v>Kirke Hyllinge</v>
      </c>
      <c r="L65" s="14" t="str">
        <f ca="1">IFERROR(__xludf.DUMMYFUNCTION("""COMPUTED_VALUE"""),"Lejre")</f>
        <v>Lejre</v>
      </c>
      <c r="M65" s="14" t="str">
        <f ca="1">IFERROR(__xludf.DUMMYFUNCTION("""COMPUTED_VALUE"""),"Østsjælland")</f>
        <v>Østsjælland</v>
      </c>
      <c r="N65" s="14" t="str">
        <f ca="1">IFERROR(__xludf.DUMMYFUNCTION("""COMPUTED_VALUE"""),"Sjælland")</f>
        <v>Sjælland</v>
      </c>
      <c r="O65" s="14">
        <f ca="1">IFERROR(__xludf.DUMMYFUNCTION("""COMPUTED_VALUE"""),46400084)</f>
        <v>46400084</v>
      </c>
      <c r="P65" s="14" t="str">
        <f ca="1">IFERROR(__xludf.DUMMYFUNCTION("""COMPUTED_VALUE"""),"237@home.dk")</f>
        <v>237@home.dk</v>
      </c>
      <c r="Q65" s="15" t="str">
        <f ca="1">IFERROR(__xludf.DUMMYFUNCTION("""COMPUTED_VALUE"""),"https://www.boliga.dk/maegler/1050")</f>
        <v>https://www.boliga.dk/maegler/1050</v>
      </c>
      <c r="R65" s="14" t="str">
        <f ca="1">IFERROR(__xludf.DUMMYFUNCTION("""COMPUTED_VALUE"""),"-")</f>
        <v>-</v>
      </c>
      <c r="S65" s="14" t="str">
        <f ca="1">IFERROR(__xludf.DUMMYFUNCTION("""COMPUTED_VALUE"""),"-")</f>
        <v>-</v>
      </c>
      <c r="T65" s="14" t="str">
        <f ca="1">IFERROR(__xludf.DUMMYFUNCTION("""COMPUTED_VALUE"""),"-")</f>
        <v>-</v>
      </c>
      <c r="U65" s="14">
        <f ca="1">IFERROR(__xludf.DUMMYFUNCTION("""COMPUTED_VALUE"""),29)</f>
        <v>29</v>
      </c>
      <c r="V65" s="14" t="str">
        <f ca="1">IFERROR(__xludf.DUMMYFUNCTION("""COMPUTED_VALUE"""),"4050, 4060, 4305, 3630, 4330, 4070")</f>
        <v>4050, 4060, 4305, 3630, 4330, 4070</v>
      </c>
      <c r="W65" s="14">
        <f ca="1">IFERROR(__xludf.DUMMYFUNCTION("""COMPUTED_VALUE"""),35)</f>
        <v>35</v>
      </c>
      <c r="X65" s="14" t="str">
        <f ca="1">IFERROR(__xludf.DUMMYFUNCTION("""COMPUTED_VALUE"""),"4050, 4070, 4060, 4330")</f>
        <v>4050, 4070, 4060, 4330</v>
      </c>
      <c r="Y65" s="14" t="str">
        <f ca="1">IFERROR(__xludf.DUMMYFUNCTION("""COMPUTED_VALUE"""),"ja")</f>
        <v>ja</v>
      </c>
      <c r="Z65" s="14"/>
      <c r="AA65" s="14"/>
      <c r="AB65" s="14" t="str">
        <f ca="1">IFERROR(__xludf.DUMMYFUNCTION("""COMPUTED_VALUE"""),"x")</f>
        <v>x</v>
      </c>
      <c r="AC65" s="14" t="str">
        <f ca="1">IFERROR(__xludf.DUMMYFUNCTION("""COMPUTED_VALUE"""),"x")</f>
        <v>x</v>
      </c>
    </row>
    <row r="66" spans="1:29" ht="12.5" x14ac:dyDescent="0.25">
      <c r="A66" s="14" t="str">
        <f ca="1">IFERROR(__xludf.DUMMYFUNCTION("""COMPUTED_VALUE"""),"Camilla")</f>
        <v>Camilla</v>
      </c>
      <c r="B66" s="14" t="str">
        <f ca="1">IFERROR(__xludf.DUMMYFUNCTION("""COMPUTED_VALUE"""),"home Greve")</f>
        <v>home Greve</v>
      </c>
      <c r="C66" s="14">
        <f ca="1">IFERROR(__xludf.DUMMYFUNCTION("""COMPUTED_VALUE"""),40538658)</f>
        <v>40538658</v>
      </c>
      <c r="D66" s="14" t="str">
        <f ca="1">IFERROR(__xludf.DUMMYFUNCTION("""COMPUTED_VALUE"""),"MG-SJ: 3.499,-")</f>
        <v>MG-SJ: 3.499,-</v>
      </c>
      <c r="E66" s="14">
        <f ca="1">IFERROR(__xludf.DUMMYFUNCTION("""COMPUTED_VALUE"""),1202)</f>
        <v>1202</v>
      </c>
      <c r="F66" s="14" t="str">
        <f ca="1">IFERROR(__xludf.DUMMYFUNCTION("""COMPUTED_VALUE"""),"Rasmus Mørch")</f>
        <v>Rasmus Mørch</v>
      </c>
      <c r="G66" s="14" t="str">
        <f ca="1">IFERROR(__xludf.DUMMYFUNCTION("""COMPUTED_VALUE"""),"ramh@home.dk")</f>
        <v>ramh@home.dk</v>
      </c>
      <c r="H66" s="14">
        <f ca="1">IFERROR(__xludf.DUMMYFUNCTION("""COMPUTED_VALUE"""),30807030)</f>
        <v>30807030</v>
      </c>
      <c r="I66" s="14" t="str">
        <f ca="1">IFERROR(__xludf.DUMMYFUNCTION("""COMPUTED_VALUE"""),"Hundige Strandvej 216")</f>
        <v>Hundige Strandvej 216</v>
      </c>
      <c r="J66" s="14">
        <f ca="1">IFERROR(__xludf.DUMMYFUNCTION("""COMPUTED_VALUE"""),2670)</f>
        <v>2670</v>
      </c>
      <c r="K66" s="14" t="str">
        <f ca="1">IFERROR(__xludf.DUMMYFUNCTION("""COMPUTED_VALUE"""),"Greve")</f>
        <v>Greve</v>
      </c>
      <c r="L66" s="14" t="str">
        <f ca="1">IFERROR(__xludf.DUMMYFUNCTION("""COMPUTED_VALUE"""),"Greve")</f>
        <v>Greve</v>
      </c>
      <c r="M66" s="14" t="str">
        <f ca="1">IFERROR(__xludf.DUMMYFUNCTION("""COMPUTED_VALUE"""),"Østsjælland")</f>
        <v>Østsjælland</v>
      </c>
      <c r="N66" s="14" t="str">
        <f ca="1">IFERROR(__xludf.DUMMYFUNCTION("""COMPUTED_VALUE"""),"Sjælland")</f>
        <v>Sjælland</v>
      </c>
      <c r="O66" s="14">
        <f ca="1">IFERROR(__xludf.DUMMYFUNCTION("""COMPUTED_VALUE"""),70500100)</f>
        <v>70500100</v>
      </c>
      <c r="P66" s="14" t="str">
        <f ca="1">IFERROR(__xludf.DUMMYFUNCTION("""COMPUTED_VALUE"""),"214@home.dk")</f>
        <v>214@home.dk</v>
      </c>
      <c r="Q66" s="15" t="str">
        <f ca="1">IFERROR(__xludf.DUMMYFUNCTION("""COMPUTED_VALUE"""),"https://www.boliga.dk/maegler/526")</f>
        <v>https://www.boliga.dk/maegler/526</v>
      </c>
      <c r="R66" s="14" t="str">
        <f ca="1">IFERROR(__xludf.DUMMYFUNCTION("""COMPUTED_VALUE"""),"-")</f>
        <v>-</v>
      </c>
      <c r="S66" s="14" t="str">
        <f ca="1">IFERROR(__xludf.DUMMYFUNCTION("""COMPUTED_VALUE"""),"-")</f>
        <v>-</v>
      </c>
      <c r="T66" s="14" t="str">
        <f ca="1">IFERROR(__xludf.DUMMYFUNCTION("""COMPUTED_VALUE"""),"-")</f>
        <v>-</v>
      </c>
      <c r="U66" s="14">
        <f ca="1">IFERROR(__xludf.DUMMYFUNCTION("""COMPUTED_VALUE"""),29)</f>
        <v>29</v>
      </c>
      <c r="V66" s="14" t="str">
        <f ca="1">IFERROR(__xludf.DUMMYFUNCTION("""COMPUTED_VALUE"""),"2690, 2670")</f>
        <v>2690, 2670</v>
      </c>
      <c r="W66" s="14">
        <f ca="1">IFERROR(__xludf.DUMMYFUNCTION("""COMPUTED_VALUE"""),28)</f>
        <v>28</v>
      </c>
      <c r="X66" s="14" t="str">
        <f ca="1">IFERROR(__xludf.DUMMYFUNCTION("""COMPUTED_VALUE"""),"2690, 2670, 3630, 4690")</f>
        <v>2690, 2670, 3630, 4690</v>
      </c>
      <c r="Y66" s="14" t="str">
        <f ca="1">IFERROR(__xludf.DUMMYFUNCTION("""COMPUTED_VALUE"""),"ja")</f>
        <v>ja</v>
      </c>
      <c r="Z66" s="14"/>
      <c r="AA66" s="14"/>
      <c r="AB66" s="14" t="str">
        <f ca="1">IFERROR(__xludf.DUMMYFUNCTION("""COMPUTED_VALUE"""),"x")</f>
        <v>x</v>
      </c>
      <c r="AC66" s="14" t="str">
        <f ca="1">IFERROR(__xludf.DUMMYFUNCTION("""COMPUTED_VALUE"""),"x")</f>
        <v>x</v>
      </c>
    </row>
    <row r="67" spans="1:29" ht="12.5" x14ac:dyDescent="0.25">
      <c r="A67" s="14" t="str">
        <f ca="1">IFERROR(__xludf.DUMMYFUNCTION("""COMPUTED_VALUE"""),"Camilla")</f>
        <v>Camilla</v>
      </c>
      <c r="B67" s="14" t="str">
        <f ca="1">IFERROR(__xludf.DUMMYFUNCTION("""COMPUTED_VALUE"""),"home Køge")</f>
        <v>home Køge</v>
      </c>
      <c r="C67" s="15">
        <f ca="1">IFERROR(__xludf.DUMMYFUNCTION("""COMPUTED_VALUE"""),42475211)</f>
        <v>42475211</v>
      </c>
      <c r="D67" s="14" t="str">
        <f ca="1">IFERROR(__xludf.DUMMYFUNCTION("""COMPUTED_VALUE"""),"MG-SJ: 3.499,-")</f>
        <v>MG-SJ: 3.499,-</v>
      </c>
      <c r="E67" s="14">
        <f ca="1">IFERROR(__xludf.DUMMYFUNCTION("""COMPUTED_VALUE"""),1202)</f>
        <v>1202</v>
      </c>
      <c r="F67" s="14" t="str">
        <f ca="1">IFERROR(__xludf.DUMMYFUNCTION("""COMPUTED_VALUE"""),"Glenn Fenger")</f>
        <v>Glenn Fenger</v>
      </c>
      <c r="G67" s="14" t="str">
        <f ca="1">IFERROR(__xludf.DUMMYFUNCTION("""COMPUTED_VALUE"""),"glen@home.dk")</f>
        <v>glen@home.dk</v>
      </c>
      <c r="H67" s="14">
        <f ca="1">IFERROR(__xludf.DUMMYFUNCTION("""COMPUTED_VALUE"""),22120411)</f>
        <v>22120411</v>
      </c>
      <c r="I67" s="14" t="str">
        <f ca="1">IFERROR(__xludf.DUMMYFUNCTION("""COMPUTED_VALUE"""),"Søndre Allé 12")</f>
        <v>Søndre Allé 12</v>
      </c>
      <c r="J67" s="14">
        <f ca="1">IFERROR(__xludf.DUMMYFUNCTION("""COMPUTED_VALUE"""),4600)</f>
        <v>4600</v>
      </c>
      <c r="K67" s="14" t="str">
        <f ca="1">IFERROR(__xludf.DUMMYFUNCTION("""COMPUTED_VALUE"""),"Køge")</f>
        <v>Køge</v>
      </c>
      <c r="L67" s="14" t="str">
        <f ca="1">IFERROR(__xludf.DUMMYFUNCTION("""COMPUTED_VALUE"""),"Køge")</f>
        <v>Køge</v>
      </c>
      <c r="M67" s="14" t="str">
        <f ca="1">IFERROR(__xludf.DUMMYFUNCTION("""COMPUTED_VALUE"""),"Østsjælland")</f>
        <v>Østsjælland</v>
      </c>
      <c r="N67" s="14" t="str">
        <f ca="1">IFERROR(__xludf.DUMMYFUNCTION("""COMPUTED_VALUE"""),"Sjælland")</f>
        <v>Sjælland</v>
      </c>
      <c r="O67" s="14">
        <f ca="1">IFERROR(__xludf.DUMMYFUNCTION("""COMPUTED_VALUE"""),56660013)</f>
        <v>56660013</v>
      </c>
      <c r="P67" s="14" t="str">
        <f ca="1">IFERROR(__xludf.DUMMYFUNCTION("""COMPUTED_VALUE"""),"215@home.dk")</f>
        <v>215@home.dk</v>
      </c>
      <c r="Q67" s="15" t="str">
        <f ca="1">IFERROR(__xludf.DUMMYFUNCTION("""COMPUTED_VALUE"""),"https://www.boliga.dk/maegler/294")</f>
        <v>https://www.boliga.dk/maegler/294</v>
      </c>
      <c r="R67" s="14" t="str">
        <f ca="1">IFERROR(__xludf.DUMMYFUNCTION("""COMPUTED_VALUE"""),"-")</f>
        <v>-</v>
      </c>
      <c r="S67" s="14" t="str">
        <f ca="1">IFERROR(__xludf.DUMMYFUNCTION("""COMPUTED_VALUE"""),"-")</f>
        <v>-</v>
      </c>
      <c r="T67" s="14" t="str">
        <f ca="1">IFERROR(__xludf.DUMMYFUNCTION("""COMPUTED_VALUE"""),"-")</f>
        <v>-</v>
      </c>
      <c r="U67" s="14">
        <f ca="1">IFERROR(__xludf.DUMMYFUNCTION("""COMPUTED_VALUE"""),37)</f>
        <v>37</v>
      </c>
      <c r="V67" s="14" t="str">
        <f ca="1">IFERROR(__xludf.DUMMYFUNCTION("""COMPUTED_VALUE"""),"4632, 4682, 4671, 4660, 4623, 4681, 4600, 4653, 4640, 4672, 4690")</f>
        <v>4632, 4682, 4671, 4660, 4623, 4681, 4600, 4653, 4640, 4672, 4690</v>
      </c>
      <c r="W67" s="14">
        <f ca="1">IFERROR(__xludf.DUMMYFUNCTION("""COMPUTED_VALUE"""),27)</f>
        <v>27</v>
      </c>
      <c r="X67" s="14" t="str">
        <f ca="1">IFERROR(__xludf.DUMMYFUNCTION("""COMPUTED_VALUE"""),"4632, 4682, 4671, 4652, 4690, 4683, 4600, 4660, 4640")</f>
        <v>4632, 4682, 4671, 4652, 4690, 4683, 4600, 4660, 4640</v>
      </c>
      <c r="Y67" s="14" t="str">
        <f ca="1">IFERROR(__xludf.DUMMYFUNCTION("""COMPUTED_VALUE"""),"ja")</f>
        <v>ja</v>
      </c>
      <c r="Z67" s="14"/>
      <c r="AA67" s="14"/>
      <c r="AB67" s="14" t="str">
        <f ca="1">IFERROR(__xludf.DUMMYFUNCTION("""COMPUTED_VALUE"""),"x")</f>
        <v>x</v>
      </c>
      <c r="AC67" s="14" t="str">
        <f ca="1">IFERROR(__xludf.DUMMYFUNCTION("""COMPUTED_VALUE"""),"x")</f>
        <v>x</v>
      </c>
    </row>
    <row r="68" spans="1:29" ht="12.5" x14ac:dyDescent="0.25">
      <c r="A68" s="14" t="str">
        <f ca="1">IFERROR(__xludf.DUMMYFUNCTION("""COMPUTED_VALUE"""),"Camilla")</f>
        <v>Camilla</v>
      </c>
      <c r="B68" s="14" t="str">
        <f ca="1">IFERROR(__xludf.DUMMYFUNCTION("""COMPUTED_VALUE"""),"home Solrød")</f>
        <v>home Solrød</v>
      </c>
      <c r="C68" s="14">
        <f ca="1">IFERROR(__xludf.DUMMYFUNCTION("""COMPUTED_VALUE"""),40538658)</f>
        <v>40538658</v>
      </c>
      <c r="D68" s="14" t="str">
        <f ca="1">IFERROR(__xludf.DUMMYFUNCTION("""COMPUTED_VALUE"""),"MG-SJ: 3.499,-")</f>
        <v>MG-SJ: 3.499,-</v>
      </c>
      <c r="E68" s="14">
        <f ca="1">IFERROR(__xludf.DUMMYFUNCTION("""COMPUTED_VALUE"""),1202)</f>
        <v>1202</v>
      </c>
      <c r="F68" s="14" t="str">
        <f ca="1">IFERROR(__xludf.DUMMYFUNCTION("""COMPUTED_VALUE"""),"Rasmus Mørch")</f>
        <v>Rasmus Mørch</v>
      </c>
      <c r="G68" s="14" t="str">
        <f ca="1">IFERROR(__xludf.DUMMYFUNCTION("""COMPUTED_VALUE"""),"ramh@home.dk")</f>
        <v>ramh@home.dk</v>
      </c>
      <c r="H68" s="14">
        <f ca="1">IFERROR(__xludf.DUMMYFUNCTION("""COMPUTED_VALUE"""),30807030)</f>
        <v>30807030</v>
      </c>
      <c r="I68" s="14" t="str">
        <f ca="1">IFERROR(__xludf.DUMMYFUNCTION("""COMPUTED_VALUE"""),"Solrød Center 48")</f>
        <v>Solrød Center 48</v>
      </c>
      <c r="J68" s="14">
        <f ca="1">IFERROR(__xludf.DUMMYFUNCTION("""COMPUTED_VALUE"""),2680)</f>
        <v>2680</v>
      </c>
      <c r="K68" s="14" t="str">
        <f ca="1">IFERROR(__xludf.DUMMYFUNCTION("""COMPUTED_VALUE"""),"Solrød Strand")</f>
        <v>Solrød Strand</v>
      </c>
      <c r="L68" s="14" t="str">
        <f ca="1">IFERROR(__xludf.DUMMYFUNCTION("""COMPUTED_VALUE"""),"Solrød")</f>
        <v>Solrød</v>
      </c>
      <c r="M68" s="14" t="str">
        <f ca="1">IFERROR(__xludf.DUMMYFUNCTION("""COMPUTED_VALUE"""),"Østsjælland")</f>
        <v>Østsjælland</v>
      </c>
      <c r="N68" s="14" t="str">
        <f ca="1">IFERROR(__xludf.DUMMYFUNCTION("""COMPUTED_VALUE"""),"Sjælland")</f>
        <v>Sjælland</v>
      </c>
      <c r="O68" s="14">
        <f ca="1">IFERROR(__xludf.DUMMYFUNCTION("""COMPUTED_VALUE"""),70500100)</f>
        <v>70500100</v>
      </c>
      <c r="P68" s="14" t="str">
        <f ca="1">IFERROR(__xludf.DUMMYFUNCTION("""COMPUTED_VALUE"""),"106@home.dk")</f>
        <v>106@home.dk</v>
      </c>
      <c r="Q68" s="15" t="str">
        <f ca="1">IFERROR(__xludf.DUMMYFUNCTION("""COMPUTED_VALUE"""),"https://www.boliga.dk/maegler/580")</f>
        <v>https://www.boliga.dk/maegler/580</v>
      </c>
      <c r="R68" s="14" t="str">
        <f ca="1">IFERROR(__xludf.DUMMYFUNCTION("""COMPUTED_VALUE"""),"-")</f>
        <v>-</v>
      </c>
      <c r="S68" s="14" t="str">
        <f ca="1">IFERROR(__xludf.DUMMYFUNCTION("""COMPUTED_VALUE"""),"-")</f>
        <v>-</v>
      </c>
      <c r="T68" s="14" t="str">
        <f ca="1">IFERROR(__xludf.DUMMYFUNCTION("""COMPUTED_VALUE"""),"-")</f>
        <v>-</v>
      </c>
      <c r="U68" s="14">
        <f ca="1">IFERROR(__xludf.DUMMYFUNCTION("""COMPUTED_VALUE"""),22)</f>
        <v>22</v>
      </c>
      <c r="V68" s="14" t="str">
        <f ca="1">IFERROR(__xludf.DUMMYFUNCTION("""COMPUTED_VALUE"""),"4622, 2450, 2690, 4623, 2680")</f>
        <v>4622, 2450, 2690, 4623, 2680</v>
      </c>
      <c r="W68" s="14">
        <f ca="1">IFERROR(__xludf.DUMMYFUNCTION("""COMPUTED_VALUE"""),23)</f>
        <v>23</v>
      </c>
      <c r="X68" s="14" t="str">
        <f ca="1">IFERROR(__xludf.DUMMYFUNCTION("""COMPUTED_VALUE"""),"4622, 2680")</f>
        <v>4622, 2680</v>
      </c>
      <c r="Y68" s="14" t="str">
        <f ca="1">IFERROR(__xludf.DUMMYFUNCTION("""COMPUTED_VALUE"""),"ja")</f>
        <v>ja</v>
      </c>
      <c r="Z68" s="14"/>
      <c r="AA68" s="14"/>
      <c r="AB68" s="14" t="str">
        <f ca="1">IFERROR(__xludf.DUMMYFUNCTION("""COMPUTED_VALUE"""),"x")</f>
        <v>x</v>
      </c>
      <c r="AC68" s="14" t="str">
        <f ca="1">IFERROR(__xludf.DUMMYFUNCTION("""COMPUTED_VALUE"""),"x")</f>
        <v>x</v>
      </c>
    </row>
    <row r="69" spans="1:29" ht="12.5" x14ac:dyDescent="0.25">
      <c r="A69" s="14" t="str">
        <f ca="1">IFERROR(__xludf.DUMMYFUNCTION("""COMPUTED_VALUE"""),"Camilla")</f>
        <v>Camilla</v>
      </c>
      <c r="B69" s="14" t="str">
        <f ca="1">IFERROR(__xludf.DUMMYFUNCTION("""COMPUTED_VALUE"""),"home Holbæk")</f>
        <v>home Holbæk</v>
      </c>
      <c r="C69" s="14">
        <f ca="1">IFERROR(__xludf.DUMMYFUNCTION("""COMPUTED_VALUE"""),28850506)</f>
        <v>28850506</v>
      </c>
      <c r="D69" s="14" t="str">
        <f ca="1">IFERROR(__xludf.DUMMYFUNCTION("""COMPUTED_VALUE"""),"MG-SJ: 3.499,-")</f>
        <v>MG-SJ: 3.499,-</v>
      </c>
      <c r="E69" s="14">
        <f ca="1">IFERROR(__xludf.DUMMYFUNCTION("""COMPUTED_VALUE"""),1202)</f>
        <v>1202</v>
      </c>
      <c r="F69" s="14" t="str">
        <f ca="1">IFERROR(__xludf.DUMMYFUNCTION("""COMPUTED_VALUE"""),"Lars Clemmensen")</f>
        <v>Lars Clemmensen</v>
      </c>
      <c r="G69" s="14" t="str">
        <f ca="1">IFERROR(__xludf.DUMMYFUNCTION("""COMPUTED_VALUE"""),"larscl@home.dk")</f>
        <v>larscl@home.dk</v>
      </c>
      <c r="H69" s="14">
        <f ca="1">IFERROR(__xludf.DUMMYFUNCTION("""COMPUTED_VALUE"""),22100084)</f>
        <v>22100084</v>
      </c>
      <c r="I69" s="14" t="str">
        <f ca="1">IFERROR(__xludf.DUMMYFUNCTION("""COMPUTED_VALUE"""),"Labæk 13")</f>
        <v>Labæk 13</v>
      </c>
      <c r="J69" s="14">
        <f ca="1">IFERROR(__xludf.DUMMYFUNCTION("""COMPUTED_VALUE"""),4300)</f>
        <v>4300</v>
      </c>
      <c r="K69" s="14" t="str">
        <f ca="1">IFERROR(__xludf.DUMMYFUNCTION("""COMPUTED_VALUE"""),"Holbæk")</f>
        <v>Holbæk</v>
      </c>
      <c r="L69" s="14" t="str">
        <f ca="1">IFERROR(__xludf.DUMMYFUNCTION("""COMPUTED_VALUE"""),"Holbæk")</f>
        <v>Holbæk</v>
      </c>
      <c r="M69" s="14" t="str">
        <f ca="1">IFERROR(__xludf.DUMMYFUNCTION("""COMPUTED_VALUE"""),"Vest- og Sydsjælland")</f>
        <v>Vest- og Sydsjælland</v>
      </c>
      <c r="N69" s="14" t="str">
        <f ca="1">IFERROR(__xludf.DUMMYFUNCTION("""COMPUTED_VALUE"""),"Sjælland")</f>
        <v>Sjælland</v>
      </c>
      <c r="O69" s="14">
        <f ca="1">IFERROR(__xludf.DUMMYFUNCTION("""COMPUTED_VALUE"""),59435959)</f>
        <v>59435959</v>
      </c>
      <c r="P69" s="14" t="str">
        <f ca="1">IFERROR(__xludf.DUMMYFUNCTION("""COMPUTED_VALUE"""),"201@home.dk")</f>
        <v>201@home.dk</v>
      </c>
      <c r="Q69" s="15" t="str">
        <f ca="1">IFERROR(__xludf.DUMMYFUNCTION("""COMPUTED_VALUE"""),"https://www.boliga.dk/maegler/199")</f>
        <v>https://www.boliga.dk/maegler/199</v>
      </c>
      <c r="R69" s="14" t="str">
        <f ca="1">IFERROR(__xludf.DUMMYFUNCTION("""COMPUTED_VALUE"""),"-")</f>
        <v>-</v>
      </c>
      <c r="S69" s="14" t="str">
        <f ca="1">IFERROR(__xludf.DUMMYFUNCTION("""COMPUTED_VALUE"""),"-")</f>
        <v>-</v>
      </c>
      <c r="T69" s="14" t="str">
        <f ca="1">IFERROR(__xludf.DUMMYFUNCTION("""COMPUTED_VALUE"""),"-")</f>
        <v>-</v>
      </c>
      <c r="U69" s="14">
        <f ca="1">IFERROR(__xludf.DUMMYFUNCTION("""COMPUTED_VALUE"""),83)</f>
        <v>83</v>
      </c>
      <c r="V69" s="14" t="str">
        <f ca="1">IFERROR(__xludf.DUMMYFUNCTION("""COMPUTED_VALUE"""),"4340, 4060, 4300, 4230, 4350, 4360, 4450, 4390, 4296, 4370, 4440, 4532, 4420, 4520")</f>
        <v>4340, 4060, 4300, 4230, 4350, 4360, 4450, 4390, 4296, 4370, 4440, 4532, 4420, 4520</v>
      </c>
      <c r="W69" s="14">
        <f ca="1">IFERROR(__xludf.DUMMYFUNCTION("""COMPUTED_VALUE"""),47)</f>
        <v>47</v>
      </c>
      <c r="X69" s="14" t="str">
        <f ca="1">IFERROR(__xludf.DUMMYFUNCTION("""COMPUTED_VALUE"""),"4340, 4420, 4300, 4390, 4450, 4440, 4520")</f>
        <v>4340, 4420, 4300, 4390, 4450, 4440, 4520</v>
      </c>
      <c r="Y69" s="14" t="str">
        <f ca="1">IFERROR(__xludf.DUMMYFUNCTION("""COMPUTED_VALUE"""),"ja")</f>
        <v>ja</v>
      </c>
      <c r="Z69" s="14"/>
      <c r="AA69" s="14"/>
      <c r="AB69" s="14" t="str">
        <f ca="1">IFERROR(__xludf.DUMMYFUNCTION("""COMPUTED_VALUE"""),"x")</f>
        <v>x</v>
      </c>
      <c r="AC69" s="14" t="str">
        <f ca="1">IFERROR(__xludf.DUMMYFUNCTION("""COMPUTED_VALUE"""),"x")</f>
        <v>x</v>
      </c>
    </row>
    <row r="70" spans="1:29" ht="12.5" x14ac:dyDescent="0.25">
      <c r="A70" s="14" t="str">
        <f ca="1">IFERROR(__xludf.DUMMYFUNCTION("""COMPUTED_VALUE"""),"Camilla")</f>
        <v>Camilla</v>
      </c>
      <c r="B70" s="14" t="str">
        <f ca="1">IFERROR(__xludf.DUMMYFUNCTION("""COMPUTED_VALUE"""),"home Næstved City")</f>
        <v>home Næstved City</v>
      </c>
      <c r="C70" s="15">
        <f ca="1">IFERROR(__xludf.DUMMYFUNCTION("""COMPUTED_VALUE"""),40909451)</f>
        <v>40909451</v>
      </c>
      <c r="D70" s="14" t="str">
        <f ca="1">IFERROR(__xludf.DUMMYFUNCTION("""COMPUTED_VALUE"""),"MG-SJ: 3.499,-")</f>
        <v>MG-SJ: 3.499,-</v>
      </c>
      <c r="E70" s="14">
        <f ca="1">IFERROR(__xludf.DUMMYFUNCTION("""COMPUTED_VALUE"""),1202)</f>
        <v>1202</v>
      </c>
      <c r="F70" s="14" t="str">
        <f ca="1">IFERROR(__xludf.DUMMYFUNCTION("""COMPUTED_VALUE"""),"Martin Hansen")</f>
        <v>Martin Hansen</v>
      </c>
      <c r="G70" s="14" t="str">
        <f ca="1">IFERROR(__xludf.DUMMYFUNCTION("""COMPUTED_VALUE"""),"finha@home.dk")</f>
        <v>finha@home.dk</v>
      </c>
      <c r="H70" s="14">
        <f ca="1">IFERROR(__xludf.DUMMYFUNCTION("""COMPUTED_VALUE"""),30152585)</f>
        <v>30152585</v>
      </c>
      <c r="I70" s="14" t="str">
        <f ca="1">IFERROR(__xludf.DUMMYFUNCTION("""COMPUTED_VALUE"""),"Ramsherred 6B")</f>
        <v>Ramsherred 6B</v>
      </c>
      <c r="J70" s="14">
        <f ca="1">IFERROR(__xludf.DUMMYFUNCTION("""COMPUTED_VALUE"""),4700)</f>
        <v>4700</v>
      </c>
      <c r="K70" s="14" t="str">
        <f ca="1">IFERROR(__xludf.DUMMYFUNCTION("""COMPUTED_VALUE"""),"Næstved")</f>
        <v>Næstved</v>
      </c>
      <c r="L70" s="14" t="str">
        <f ca="1">IFERROR(__xludf.DUMMYFUNCTION("""COMPUTED_VALUE"""),"Næstved")</f>
        <v>Næstved</v>
      </c>
      <c r="M70" s="14" t="str">
        <f ca="1">IFERROR(__xludf.DUMMYFUNCTION("""COMPUTED_VALUE"""),"Vest- og Sydsjælland")</f>
        <v>Vest- og Sydsjælland</v>
      </c>
      <c r="N70" s="14" t="str">
        <f ca="1">IFERROR(__xludf.DUMMYFUNCTION("""COMPUTED_VALUE"""),"Sjælland")</f>
        <v>Sjælland</v>
      </c>
      <c r="O70" s="14">
        <f ca="1">IFERROR(__xludf.DUMMYFUNCTION("""COMPUTED_VALUE"""),70602122)</f>
        <v>70602122</v>
      </c>
      <c r="P70" s="14" t="str">
        <f ca="1">IFERROR(__xludf.DUMMYFUNCTION("""COMPUTED_VALUE"""),"242@home.dk")</f>
        <v>242@home.dk</v>
      </c>
      <c r="Q70" s="15" t="str">
        <f ca="1">IFERROR(__xludf.DUMMYFUNCTION("""COMPUTED_VALUE"""),"https://www.boliga.dk/maegler/26176")</f>
        <v>https://www.boliga.dk/maegler/26176</v>
      </c>
      <c r="R70" s="14" t="str">
        <f ca="1">IFERROR(__xludf.DUMMYFUNCTION("""COMPUTED_VALUE"""),"-")</f>
        <v>-</v>
      </c>
      <c r="S70" s="14" t="str">
        <f ca="1">IFERROR(__xludf.DUMMYFUNCTION("""COMPUTED_VALUE"""),"-")</f>
        <v>-</v>
      </c>
      <c r="T70" s="14" t="str">
        <f ca="1">IFERROR(__xludf.DUMMYFUNCTION("""COMPUTED_VALUE"""),"-")</f>
        <v>-</v>
      </c>
      <c r="U70" s="14">
        <f ca="1">IFERROR(__xludf.DUMMYFUNCTION("""COMPUTED_VALUE"""),21)</f>
        <v>21</v>
      </c>
      <c r="V70" s="14" t="str">
        <f ca="1">IFERROR(__xludf.DUMMYFUNCTION("""COMPUTED_VALUE"""),"4250, 4171, 4262, 4684, 4736, 4700")</f>
        <v>4250, 4171, 4262, 4684, 4736, 4700</v>
      </c>
      <c r="W70" s="14">
        <f ca="1">IFERROR(__xludf.DUMMYFUNCTION("""COMPUTED_VALUE"""),17)</f>
        <v>17</v>
      </c>
      <c r="X70" s="14" t="str">
        <f ca="1">IFERROR(__xludf.DUMMYFUNCTION("""COMPUTED_VALUE"""),"4250, 4684, 4262, 4700")</f>
        <v>4250, 4684, 4262, 4700</v>
      </c>
      <c r="Y70" s="14" t="str">
        <f ca="1">IFERROR(__xludf.DUMMYFUNCTION("""COMPUTED_VALUE"""),"ja")</f>
        <v>ja</v>
      </c>
      <c r="Z70" s="14"/>
      <c r="AA70" s="14"/>
      <c r="AB70" s="14" t="str">
        <f ca="1">IFERROR(__xludf.DUMMYFUNCTION("""COMPUTED_VALUE"""),"x")</f>
        <v>x</v>
      </c>
      <c r="AC70" s="14" t="str">
        <f ca="1">IFERROR(__xludf.DUMMYFUNCTION("""COMPUTED_VALUE"""),"x")</f>
        <v>x</v>
      </c>
    </row>
    <row r="71" spans="1:29" ht="12.5" x14ac:dyDescent="0.25">
      <c r="A71" s="14" t="str">
        <f ca="1">IFERROR(__xludf.DUMMYFUNCTION("""COMPUTED_VALUE"""),"Camilla")</f>
        <v>Camilla</v>
      </c>
      <c r="B71" s="14" t="str">
        <f ca="1">IFERROR(__xludf.DUMMYFUNCTION("""COMPUTED_VALUE"""),"home Ringsted")</f>
        <v>home Ringsted</v>
      </c>
      <c r="C71" s="14">
        <f ca="1">IFERROR(__xludf.DUMMYFUNCTION("""COMPUTED_VALUE"""),42475211)</f>
        <v>42475211</v>
      </c>
      <c r="D71" s="14" t="str">
        <f ca="1">IFERROR(__xludf.DUMMYFUNCTION("""COMPUTED_VALUE"""),"MG-SJ: 3.499,-")</f>
        <v>MG-SJ: 3.499,-</v>
      </c>
      <c r="E71" s="14">
        <f ca="1">IFERROR(__xludf.DUMMYFUNCTION("""COMPUTED_VALUE"""),1202)</f>
        <v>1202</v>
      </c>
      <c r="F71" s="14" t="str">
        <f ca="1">IFERROR(__xludf.DUMMYFUNCTION("""COMPUTED_VALUE"""),"Glenn Fenger")</f>
        <v>Glenn Fenger</v>
      </c>
      <c r="G71" s="14" t="str">
        <f ca="1">IFERROR(__xludf.DUMMYFUNCTION("""COMPUTED_VALUE"""),"glen@home.dk")</f>
        <v>glen@home.dk</v>
      </c>
      <c r="H71" s="14">
        <f ca="1">IFERROR(__xludf.DUMMYFUNCTION("""COMPUTED_VALUE"""),22120411)</f>
        <v>22120411</v>
      </c>
      <c r="I71" s="14" t="str">
        <f ca="1">IFERROR(__xludf.DUMMYFUNCTION("""COMPUTED_VALUE"""),"Torvet 4")</f>
        <v>Torvet 4</v>
      </c>
      <c r="J71" s="14">
        <f ca="1">IFERROR(__xludf.DUMMYFUNCTION("""COMPUTED_VALUE"""),4100)</f>
        <v>4100</v>
      </c>
      <c r="K71" s="14" t="str">
        <f ca="1">IFERROR(__xludf.DUMMYFUNCTION("""COMPUTED_VALUE"""),"Ringsted")</f>
        <v>Ringsted</v>
      </c>
      <c r="L71" s="14" t="str">
        <f ca="1">IFERROR(__xludf.DUMMYFUNCTION("""COMPUTED_VALUE"""),"Ringsted")</f>
        <v>Ringsted</v>
      </c>
      <c r="M71" s="14" t="str">
        <f ca="1">IFERROR(__xludf.DUMMYFUNCTION("""COMPUTED_VALUE"""),"Vest- og Sydsjælland")</f>
        <v>Vest- og Sydsjælland</v>
      </c>
      <c r="N71" s="14" t="str">
        <f ca="1">IFERROR(__xludf.DUMMYFUNCTION("""COMPUTED_VALUE"""),"Sjælland")</f>
        <v>Sjælland</v>
      </c>
      <c r="O71" s="14">
        <f ca="1">IFERROR(__xludf.DUMMYFUNCTION("""COMPUTED_VALUE"""),57674600)</f>
        <v>57674600</v>
      </c>
      <c r="P71" s="14" t="str">
        <f ca="1">IFERROR(__xludf.DUMMYFUNCTION("""COMPUTED_VALUE"""),"206@home.dk")</f>
        <v>206@home.dk</v>
      </c>
      <c r="Q71" s="15" t="str">
        <f ca="1">IFERROR(__xludf.DUMMYFUNCTION("""COMPUTED_VALUE"""),"https://www.boliga.dk/maegler/578")</f>
        <v>https://www.boliga.dk/maegler/578</v>
      </c>
      <c r="R71" s="14" t="str">
        <f ca="1">IFERROR(__xludf.DUMMYFUNCTION("""COMPUTED_VALUE"""),"-")</f>
        <v>-</v>
      </c>
      <c r="S71" s="14" t="str">
        <f ca="1">IFERROR(__xludf.DUMMYFUNCTION("""COMPUTED_VALUE"""),"-")</f>
        <v>-</v>
      </c>
      <c r="T71" s="14" t="str">
        <f ca="1">IFERROR(__xludf.DUMMYFUNCTION("""COMPUTED_VALUE"""),"-")</f>
        <v>-</v>
      </c>
      <c r="U71" s="14">
        <f ca="1">IFERROR(__xludf.DUMMYFUNCTION("""COMPUTED_VALUE"""),16)</f>
        <v>16</v>
      </c>
      <c r="V71" s="14" t="str">
        <f ca="1">IFERROR(__xludf.DUMMYFUNCTION("""COMPUTED_VALUE"""),"4000, 4690, 4100, 4171")</f>
        <v>4000, 4690, 4100, 4171</v>
      </c>
      <c r="W71" s="14">
        <f ca="1">IFERROR(__xludf.DUMMYFUNCTION("""COMPUTED_VALUE"""),24)</f>
        <v>24</v>
      </c>
      <c r="X71" s="14" t="str">
        <f ca="1">IFERROR(__xludf.DUMMYFUNCTION("""COMPUTED_VALUE"""),"4690, 4100, 4174, 4171")</f>
        <v>4690, 4100, 4174, 4171</v>
      </c>
      <c r="Y71" s="14" t="str">
        <f ca="1">IFERROR(__xludf.DUMMYFUNCTION("""COMPUTED_VALUE"""),"ja")</f>
        <v>ja</v>
      </c>
      <c r="Z71" s="14"/>
      <c r="AA71" s="14"/>
      <c r="AB71" s="14" t="str">
        <f ca="1">IFERROR(__xludf.DUMMYFUNCTION("""COMPUTED_VALUE"""),"x")</f>
        <v>x</v>
      </c>
      <c r="AC71" s="14" t="str">
        <f ca="1">IFERROR(__xludf.DUMMYFUNCTION("""COMPUTED_VALUE"""),"x")</f>
        <v>x</v>
      </c>
    </row>
    <row r="72" spans="1:29" ht="12.5" x14ac:dyDescent="0.25">
      <c r="A72" s="14" t="str">
        <f ca="1">IFERROR(__xludf.DUMMYFUNCTION("""COMPUTED_VALUE"""),"Camilla")</f>
        <v>Camilla</v>
      </c>
      <c r="B72" s="14" t="str">
        <f ca="1">IFERROR(__xludf.DUMMYFUNCTION("""COMPUTED_VALUE"""),"home Skælskør")</f>
        <v>home Skælskør</v>
      </c>
      <c r="C72" s="14">
        <f ca="1">IFERROR(__xludf.DUMMYFUNCTION("""COMPUTED_VALUE"""),35365478)</f>
        <v>35365478</v>
      </c>
      <c r="D72" s="14" t="str">
        <f ca="1">IFERROR(__xludf.DUMMYFUNCTION("""COMPUTED_VALUE"""),"MG-PM-SJ: 2.600,-")</f>
        <v>MG-PM-SJ: 2.600,-</v>
      </c>
      <c r="E72" s="14">
        <f ca="1">IFERROR(__xludf.DUMMYFUNCTION("""COMPUTED_VALUE"""),1204)</f>
        <v>1204</v>
      </c>
      <c r="F72" s="14" t="str">
        <f ca="1">IFERROR(__xludf.DUMMYFUNCTION("""COMPUTED_VALUE"""),"Steen Grosen")</f>
        <v>Steen Grosen</v>
      </c>
      <c r="G72" s="14" t="str">
        <f ca="1">IFERROR(__xludf.DUMMYFUNCTION("""COMPUTED_VALUE"""),"grosen@home.dk")</f>
        <v>grosen@home.dk</v>
      </c>
      <c r="H72" s="14">
        <f ca="1">IFERROR(__xludf.DUMMYFUNCTION("""COMPUTED_VALUE"""),20454990)</f>
        <v>20454990</v>
      </c>
      <c r="I72" s="14" t="str">
        <f ca="1">IFERROR(__xludf.DUMMYFUNCTION("""COMPUTED_VALUE"""),"Nytorv 2")</f>
        <v>Nytorv 2</v>
      </c>
      <c r="J72" s="14">
        <f ca="1">IFERROR(__xludf.DUMMYFUNCTION("""COMPUTED_VALUE"""),4230)</f>
        <v>4230</v>
      </c>
      <c r="K72" s="14" t="str">
        <f ca="1">IFERROR(__xludf.DUMMYFUNCTION("""COMPUTED_VALUE"""),"Skælskør")</f>
        <v>Skælskør</v>
      </c>
      <c r="L72" s="14" t="str">
        <f ca="1">IFERROR(__xludf.DUMMYFUNCTION("""COMPUTED_VALUE"""),"Slagelse")</f>
        <v>Slagelse</v>
      </c>
      <c r="M72" s="14" t="str">
        <f ca="1">IFERROR(__xludf.DUMMYFUNCTION("""COMPUTED_VALUE"""),"Vest- og Sydsjælland")</f>
        <v>Vest- og Sydsjælland</v>
      </c>
      <c r="N72" s="14" t="str">
        <f ca="1">IFERROR(__xludf.DUMMYFUNCTION("""COMPUTED_VALUE"""),"Sjælland")</f>
        <v>Sjælland</v>
      </c>
      <c r="O72" s="14">
        <f ca="1">IFERROR(__xludf.DUMMYFUNCTION("""COMPUTED_VALUE"""),58190268)</f>
        <v>58190268</v>
      </c>
      <c r="P72" s="14" t="str">
        <f ca="1">IFERROR(__xludf.DUMMYFUNCTION("""COMPUTED_VALUE"""),"225@home.dk")</f>
        <v>225@home.dk</v>
      </c>
      <c r="Q72" s="15" t="str">
        <f ca="1">IFERROR(__xludf.DUMMYFUNCTION("""COMPUTED_VALUE"""),"https://www.boliga.dk/maegler/274")</f>
        <v>https://www.boliga.dk/maegler/274</v>
      </c>
      <c r="R72" s="14" t="str">
        <f ca="1">IFERROR(__xludf.DUMMYFUNCTION("""COMPUTED_VALUE"""),"-")</f>
        <v>-</v>
      </c>
      <c r="S72" s="14" t="str">
        <f ca="1">IFERROR(__xludf.DUMMYFUNCTION("""COMPUTED_VALUE"""),"-")</f>
        <v>-</v>
      </c>
      <c r="T72" s="14" t="str">
        <f ca="1">IFERROR(__xludf.DUMMYFUNCTION("""COMPUTED_VALUE"""),"-")</f>
        <v>-</v>
      </c>
      <c r="U72" s="14">
        <f ca="1">IFERROR(__xludf.DUMMYFUNCTION("""COMPUTED_VALUE"""),16)</f>
        <v>16</v>
      </c>
      <c r="V72" s="14" t="str">
        <f ca="1">IFERROR(__xludf.DUMMYFUNCTION("""COMPUTED_VALUE"""),"4242, 4230, 4262, 4261")</f>
        <v>4242, 4230, 4262, 4261</v>
      </c>
      <c r="W72" s="14">
        <f ca="1">IFERROR(__xludf.DUMMYFUNCTION("""COMPUTED_VALUE"""),7)</f>
        <v>7</v>
      </c>
      <c r="X72" s="14" t="str">
        <f ca="1">IFERROR(__xludf.DUMMYFUNCTION("""COMPUTED_VALUE"""),"4243, 4230, 4261")</f>
        <v>4243, 4230, 4261</v>
      </c>
      <c r="Y72" s="14" t="str">
        <f ca="1">IFERROR(__xludf.DUMMYFUNCTION("""COMPUTED_VALUE"""),"ja")</f>
        <v>ja</v>
      </c>
      <c r="Z72" s="14" t="str">
        <f ca="1">IFERROR(__xludf.DUMMYFUNCTION("""COMPUTED_VALUE"""),"Pm rabat")</f>
        <v>Pm rabat</v>
      </c>
      <c r="AA72" s="14"/>
      <c r="AB72" s="14" t="str">
        <f ca="1">IFERROR(__xludf.DUMMYFUNCTION("""COMPUTED_VALUE"""),"x")</f>
        <v>x</v>
      </c>
      <c r="AC72" s="14" t="str">
        <f ca="1">IFERROR(__xludf.DUMMYFUNCTION("""COMPUTED_VALUE"""),"x")</f>
        <v>x</v>
      </c>
    </row>
    <row r="73" spans="1:29" ht="12.5" x14ac:dyDescent="0.25">
      <c r="A73" s="14" t="str">
        <f ca="1">IFERROR(__xludf.DUMMYFUNCTION("""COMPUTED_VALUE"""),"Camilla")</f>
        <v>Camilla</v>
      </c>
      <c r="B73" s="14" t="str">
        <f ca="1">IFERROR(__xludf.DUMMYFUNCTION("""COMPUTED_VALUE"""),"home Slagelse")</f>
        <v>home Slagelse</v>
      </c>
      <c r="C73" s="14">
        <f ca="1">IFERROR(__xludf.DUMMYFUNCTION("""COMPUTED_VALUE"""),35365478)</f>
        <v>35365478</v>
      </c>
      <c r="D73" s="14" t="str">
        <f ca="1">IFERROR(__xludf.DUMMYFUNCTION("""COMPUTED_VALUE"""),"MG-PM-SJ: 2.600,-")</f>
        <v>MG-PM-SJ: 2.600,-</v>
      </c>
      <c r="E73" s="14">
        <f ca="1">IFERROR(__xludf.DUMMYFUNCTION("""COMPUTED_VALUE"""),1204)</f>
        <v>1204</v>
      </c>
      <c r="F73" s="14" t="str">
        <f ca="1">IFERROR(__xludf.DUMMYFUNCTION("""COMPUTED_VALUE"""),"Steen Grosen")</f>
        <v>Steen Grosen</v>
      </c>
      <c r="G73" s="14" t="str">
        <f ca="1">IFERROR(__xludf.DUMMYFUNCTION("""COMPUTED_VALUE"""),"grosen@home.dk")</f>
        <v>grosen@home.dk</v>
      </c>
      <c r="H73" s="14">
        <f ca="1">IFERROR(__xludf.DUMMYFUNCTION("""COMPUTED_VALUE"""),20454990)</f>
        <v>20454990</v>
      </c>
      <c r="I73" s="14" t="str">
        <f ca="1">IFERROR(__xludf.DUMMYFUNCTION("""COMPUTED_VALUE"""),"Fisketorvet 11")</f>
        <v>Fisketorvet 11</v>
      </c>
      <c r="J73" s="14">
        <f ca="1">IFERROR(__xludf.DUMMYFUNCTION("""COMPUTED_VALUE"""),4200)</f>
        <v>4200</v>
      </c>
      <c r="K73" s="14" t="str">
        <f ca="1">IFERROR(__xludf.DUMMYFUNCTION("""COMPUTED_VALUE"""),"Slagelse")</f>
        <v>Slagelse</v>
      </c>
      <c r="L73" s="14" t="str">
        <f ca="1">IFERROR(__xludf.DUMMYFUNCTION("""COMPUTED_VALUE"""),"Slagelse")</f>
        <v>Slagelse</v>
      </c>
      <c r="M73" s="14" t="str">
        <f ca="1">IFERROR(__xludf.DUMMYFUNCTION("""COMPUTED_VALUE"""),"Vest- og Sydsjælland")</f>
        <v>Vest- og Sydsjælland</v>
      </c>
      <c r="N73" s="14" t="str">
        <f ca="1">IFERROR(__xludf.DUMMYFUNCTION("""COMPUTED_VALUE"""),"Sjælland")</f>
        <v>Sjælland</v>
      </c>
      <c r="O73" s="14">
        <f ca="1">IFERROR(__xludf.DUMMYFUNCTION("""COMPUTED_VALUE"""),58502110)</f>
        <v>58502110</v>
      </c>
      <c r="P73" s="14" t="str">
        <f ca="1">IFERROR(__xludf.DUMMYFUNCTION("""COMPUTED_VALUE"""),"208@home.dk")</f>
        <v>208@home.dk</v>
      </c>
      <c r="Q73" s="15" t="str">
        <f ca="1">IFERROR(__xludf.DUMMYFUNCTION("""COMPUTED_VALUE"""),"https://www.boliga.dk/maegler/1012")</f>
        <v>https://www.boliga.dk/maegler/1012</v>
      </c>
      <c r="R73" s="14" t="str">
        <f ca="1">IFERROR(__xludf.DUMMYFUNCTION("""COMPUTED_VALUE"""),"-")</f>
        <v>-</v>
      </c>
      <c r="S73" s="14" t="str">
        <f ca="1">IFERROR(__xludf.DUMMYFUNCTION("""COMPUTED_VALUE"""),"-")</f>
        <v>-</v>
      </c>
      <c r="T73" s="14" t="str">
        <f ca="1">IFERROR(__xludf.DUMMYFUNCTION("""COMPUTED_VALUE"""),"-")</f>
        <v>-</v>
      </c>
      <c r="U73" s="14">
        <f ca="1">IFERROR(__xludf.DUMMYFUNCTION("""COMPUTED_VALUE"""),56)</f>
        <v>56</v>
      </c>
      <c r="V73" s="14" t="str">
        <f ca="1">IFERROR(__xludf.DUMMYFUNCTION("""COMPUTED_VALUE"""),"4262, 4270, 4200, 4281, 4295, 4480")</f>
        <v>4262, 4270, 4200, 4281, 4295, 4480</v>
      </c>
      <c r="W73" s="14">
        <f ca="1">IFERROR(__xludf.DUMMYFUNCTION("""COMPUTED_VALUE"""),45)</f>
        <v>45</v>
      </c>
      <c r="X73" s="14" t="str">
        <f ca="1">IFERROR(__xludf.DUMMYFUNCTION("""COMPUTED_VALUE"""),"4200, 4270, 4291, 4250, 4261")</f>
        <v>4200, 4270, 4291, 4250, 4261</v>
      </c>
      <c r="Y73" s="14" t="str">
        <f ca="1">IFERROR(__xludf.DUMMYFUNCTION("""COMPUTED_VALUE"""),"ja")</f>
        <v>ja</v>
      </c>
      <c r="Z73" s="14" t="str">
        <f ca="1">IFERROR(__xludf.DUMMYFUNCTION("""COMPUTED_VALUE"""),"Pm rabat")</f>
        <v>Pm rabat</v>
      </c>
      <c r="AA73" s="14"/>
      <c r="AB73" s="14" t="str">
        <f ca="1">IFERROR(__xludf.DUMMYFUNCTION("""COMPUTED_VALUE"""),"x")</f>
        <v>x</v>
      </c>
      <c r="AC73" s="14" t="str">
        <f ca="1">IFERROR(__xludf.DUMMYFUNCTION("""COMPUTED_VALUE"""),"x")</f>
        <v>x</v>
      </c>
    </row>
    <row r="74" spans="1:29" ht="12.5" x14ac:dyDescent="0.25">
      <c r="A74" s="14" t="str">
        <f ca="1">IFERROR(__xludf.DUMMYFUNCTION("""COMPUTED_VALUE"""),"Camilla")</f>
        <v>Camilla</v>
      </c>
      <c r="B74" s="14" t="str">
        <f ca="1">IFERROR(__xludf.DUMMYFUNCTION("""COMPUTED_VALUE"""),"home Dalum")</f>
        <v>home Dalum</v>
      </c>
      <c r="C74" s="15">
        <f ca="1">IFERROR(__xludf.DUMMYFUNCTION("""COMPUTED_VALUE"""),41618124)</f>
        <v>41618124</v>
      </c>
      <c r="D74" s="14" t="str">
        <f ca="1">IFERROR(__xludf.DUMMYFUNCTION("""COMPUTED_VALUE"""),"MG-JY: 2.499,-")</f>
        <v>MG-JY: 2.499,-</v>
      </c>
      <c r="E74" s="14">
        <f ca="1">IFERROR(__xludf.DUMMYFUNCTION("""COMPUTED_VALUE"""),1201)</f>
        <v>1201</v>
      </c>
      <c r="F74" s="14" t="str">
        <f ca="1">IFERROR(__xludf.DUMMYFUNCTION("""COMPUTED_VALUE"""),"Daniel Andersen")</f>
        <v>Daniel Andersen</v>
      </c>
      <c r="G74" s="14" t="str">
        <f ca="1">IFERROR(__xludf.DUMMYFUNCTION("""COMPUTED_VALUE"""),"danand@home.dk")</f>
        <v>danand@home.dk</v>
      </c>
      <c r="H74" s="14">
        <f ca="1">IFERROR(__xludf.DUMMYFUNCTION("""COMPUTED_VALUE"""),92923696)</f>
        <v>92923696</v>
      </c>
      <c r="I74" s="14" t="str">
        <f ca="1">IFERROR(__xludf.DUMMYFUNCTION("""COMPUTED_VALUE"""),"Faaborgvej 24")</f>
        <v>Faaborgvej 24</v>
      </c>
      <c r="J74" s="14">
        <f ca="1">IFERROR(__xludf.DUMMYFUNCTION("""COMPUTED_VALUE"""),5250)</f>
        <v>5250</v>
      </c>
      <c r="K74" s="14" t="str">
        <f ca="1">IFERROR(__xludf.DUMMYFUNCTION("""COMPUTED_VALUE"""),"Odense SV")</f>
        <v>Odense SV</v>
      </c>
      <c r="L74" s="14" t="str">
        <f ca="1">IFERROR(__xludf.DUMMYFUNCTION("""COMPUTED_VALUE"""),"Odense")</f>
        <v>Odense</v>
      </c>
      <c r="M74" s="14" t="str">
        <f ca="1">IFERROR(__xludf.DUMMYFUNCTION("""COMPUTED_VALUE"""),"Fyn")</f>
        <v>Fyn</v>
      </c>
      <c r="N74" s="14" t="str">
        <f ca="1">IFERROR(__xludf.DUMMYFUNCTION("""COMPUTED_VALUE"""),"Syddanmark")</f>
        <v>Syddanmark</v>
      </c>
      <c r="O74" s="14">
        <f ca="1">IFERROR(__xludf.DUMMYFUNCTION("""COMPUTED_VALUE"""),63125540)</f>
        <v>63125540</v>
      </c>
      <c r="P74" s="14" t="str">
        <f ca="1">IFERROR(__xludf.DUMMYFUNCTION("""COMPUTED_VALUE"""),"912@home.dk")</f>
        <v>912@home.dk</v>
      </c>
      <c r="Q74" s="15" t="str">
        <f ca="1">IFERROR(__xludf.DUMMYFUNCTION("""COMPUTED_VALUE"""),"https://www.boliga.dk/maegler/838")</f>
        <v>https://www.boliga.dk/maegler/838</v>
      </c>
      <c r="R74" s="14" t="str">
        <f ca="1">IFERROR(__xludf.DUMMYFUNCTION("""COMPUTED_VALUE"""),"-")</f>
        <v>-</v>
      </c>
      <c r="S74" s="14" t="str">
        <f ca="1">IFERROR(__xludf.DUMMYFUNCTION("""COMPUTED_VALUE"""),"-")</f>
        <v>-</v>
      </c>
      <c r="T74" s="14" t="str">
        <f ca="1">IFERROR(__xludf.DUMMYFUNCTION("""COMPUTED_VALUE"""),"-")</f>
        <v>-</v>
      </c>
      <c r="U74" s="14">
        <f ca="1">IFERROR(__xludf.DUMMYFUNCTION("""COMPUTED_VALUE"""),29)</f>
        <v>29</v>
      </c>
      <c r="V74" s="14" t="str">
        <f ca="1">IFERROR(__xludf.DUMMYFUNCTION("""COMPUTED_VALUE"""),"5250, 5260, 5220, 5690, 5230, 5792, 5270")</f>
        <v>5250, 5260, 5220, 5690, 5230, 5792, 5270</v>
      </c>
      <c r="W74" s="14">
        <f ca="1">IFERROR(__xludf.DUMMYFUNCTION("""COMPUTED_VALUE"""),28)</f>
        <v>28</v>
      </c>
      <c r="X74" s="14" t="str">
        <f ca="1">IFERROR(__xludf.DUMMYFUNCTION("""COMPUTED_VALUE"""),"5250, 5690, 5230, 5240, 5000, 5260")</f>
        <v>5250, 5690, 5230, 5240, 5000, 5260</v>
      </c>
      <c r="Y74" s="14" t="str">
        <f ca="1">IFERROR(__xludf.DUMMYFUNCTION("""COMPUTED_VALUE"""),"ja")</f>
        <v>ja</v>
      </c>
      <c r="Z74" s="14"/>
      <c r="AA74" s="14"/>
      <c r="AB74" s="14" t="str">
        <f ca="1">IFERROR(__xludf.DUMMYFUNCTION("""COMPUTED_VALUE"""),"x")</f>
        <v>x</v>
      </c>
      <c r="AC74" s="14" t="str">
        <f ca="1">IFERROR(__xludf.DUMMYFUNCTION("""COMPUTED_VALUE"""),"x")</f>
        <v>x</v>
      </c>
    </row>
    <row r="75" spans="1:29" ht="12.5" x14ac:dyDescent="0.25">
      <c r="A75" s="14" t="str">
        <f ca="1">IFERROR(__xludf.DUMMYFUNCTION("""COMPUTED_VALUE"""),"Camilla")</f>
        <v>Camilla</v>
      </c>
      <c r="B75" s="14" t="str">
        <f ca="1">IFERROR(__xludf.DUMMYFUNCTION("""COMPUTED_VALUE"""),"home Faaborg")</f>
        <v>home Faaborg</v>
      </c>
      <c r="C75" s="14">
        <f ca="1">IFERROR(__xludf.DUMMYFUNCTION("""COMPUTED_VALUE"""),41183047)</f>
        <v>41183047</v>
      </c>
      <c r="D75" s="14" t="str">
        <f ca="1">IFERROR(__xludf.DUMMYFUNCTION("""COMPUTED_VALUE"""),"MG-JY: 2.499,-")</f>
        <v>MG-JY: 2.499,-</v>
      </c>
      <c r="E75" s="14">
        <f ca="1">IFERROR(__xludf.DUMMYFUNCTION("""COMPUTED_VALUE"""),1201)</f>
        <v>1201</v>
      </c>
      <c r="F75" s="14" t="str">
        <f ca="1">IFERROR(__xludf.DUMMYFUNCTION("""COMPUTED_VALUE"""),"Theis Davidsen")</f>
        <v>Theis Davidsen</v>
      </c>
      <c r="G75" s="14" t="str">
        <f ca="1">IFERROR(__xludf.DUMMYFUNCTION("""COMPUTED_VALUE"""),"thda@home.dk")</f>
        <v>thda@home.dk</v>
      </c>
      <c r="H75" s="14">
        <f ca="1">IFERROR(__xludf.DUMMYFUNCTION("""COMPUTED_VALUE"""),20683938)</f>
        <v>20683938</v>
      </c>
      <c r="I75" s="14" t="str">
        <f ca="1">IFERROR(__xludf.DUMMYFUNCTION("""COMPUTED_VALUE"""),"Mellemgade 13")</f>
        <v>Mellemgade 13</v>
      </c>
      <c r="J75" s="14">
        <f ca="1">IFERROR(__xludf.DUMMYFUNCTION("""COMPUTED_VALUE"""),5600)</f>
        <v>5600</v>
      </c>
      <c r="K75" s="14" t="str">
        <f ca="1">IFERROR(__xludf.DUMMYFUNCTION("""COMPUTED_VALUE"""),"Faaborg")</f>
        <v>Faaborg</v>
      </c>
      <c r="L75" s="14" t="str">
        <f ca="1">IFERROR(__xludf.DUMMYFUNCTION("""COMPUTED_VALUE"""),"Faaborg-Midtfyn")</f>
        <v>Faaborg-Midtfyn</v>
      </c>
      <c r="M75" s="14" t="str">
        <f ca="1">IFERROR(__xludf.DUMMYFUNCTION("""COMPUTED_VALUE"""),"Fyn")</f>
        <v>Fyn</v>
      </c>
      <c r="N75" s="14" t="str">
        <f ca="1">IFERROR(__xludf.DUMMYFUNCTION("""COMPUTED_VALUE"""),"Syddanmark")</f>
        <v>Syddanmark</v>
      </c>
      <c r="O75" s="14">
        <f ca="1">IFERROR(__xludf.DUMMYFUNCTION("""COMPUTED_VALUE"""),63212700)</f>
        <v>63212700</v>
      </c>
      <c r="P75" s="14" t="str">
        <f ca="1">IFERROR(__xludf.DUMMYFUNCTION("""COMPUTED_VALUE"""),"920@home.dk")</f>
        <v>920@home.dk</v>
      </c>
      <c r="Q75" s="15" t="str">
        <f ca="1">IFERROR(__xludf.DUMMYFUNCTION("""COMPUTED_VALUE"""),"https://www.boliga.dk/maegler/474")</f>
        <v>https://www.boliga.dk/maegler/474</v>
      </c>
      <c r="R75" s="14" t="str">
        <f ca="1">IFERROR(__xludf.DUMMYFUNCTION("""COMPUTED_VALUE"""),"-")</f>
        <v>-</v>
      </c>
      <c r="S75" s="14" t="str">
        <f ca="1">IFERROR(__xludf.DUMMYFUNCTION("""COMPUTED_VALUE"""),"-")</f>
        <v>-</v>
      </c>
      <c r="T75" s="14" t="str">
        <f ca="1">IFERROR(__xludf.DUMMYFUNCTION("""COMPUTED_VALUE"""),"-")</f>
        <v>-</v>
      </c>
      <c r="U75" s="14">
        <f ca="1">IFERROR(__xludf.DUMMYFUNCTION("""COMPUTED_VALUE"""),42)</f>
        <v>42</v>
      </c>
      <c r="V75" s="14" t="str">
        <f ca="1">IFERROR(__xludf.DUMMYFUNCTION("""COMPUTED_VALUE"""),"5270, 5672, 5762, 5985, 5600, 5642")</f>
        <v>5270, 5672, 5762, 5985, 5600, 5642</v>
      </c>
      <c r="W75" s="14">
        <f ca="1">IFERROR(__xludf.DUMMYFUNCTION("""COMPUTED_VALUE"""),19)</f>
        <v>19</v>
      </c>
      <c r="X75" s="14" t="str">
        <f ca="1">IFERROR(__xludf.DUMMYFUNCTION("""COMPUTED_VALUE"""),"5260, 5000, 5450, 5683, 5600, 5672")</f>
        <v>5260, 5000, 5450, 5683, 5600, 5672</v>
      </c>
      <c r="Y75" s="14" t="str">
        <f ca="1">IFERROR(__xludf.DUMMYFUNCTION("""COMPUTED_VALUE"""),"ja")</f>
        <v>ja</v>
      </c>
      <c r="Z75" s="14"/>
      <c r="AA75" s="14"/>
      <c r="AB75" s="14" t="str">
        <f ca="1">IFERROR(__xludf.DUMMYFUNCTION("""COMPUTED_VALUE"""),"x")</f>
        <v>x</v>
      </c>
      <c r="AC75" s="14" t="str">
        <f ca="1">IFERROR(__xludf.DUMMYFUNCTION("""COMPUTED_VALUE"""),"x")</f>
        <v>x</v>
      </c>
    </row>
    <row r="76" spans="1:29" ht="12.5" x14ac:dyDescent="0.25">
      <c r="A76" s="14" t="str">
        <f ca="1">IFERROR(__xludf.DUMMYFUNCTION("""COMPUTED_VALUE"""),"Camilla")</f>
        <v>Camilla</v>
      </c>
      <c r="B76" s="14" t="str">
        <f ca="1">IFERROR(__xludf.DUMMYFUNCTION("""COMPUTED_VALUE"""),"home Hunderup")</f>
        <v>home Hunderup</v>
      </c>
      <c r="C76" s="14">
        <f ca="1">IFERROR(__xludf.DUMMYFUNCTION("""COMPUTED_VALUE"""),26258855)</f>
        <v>26258855</v>
      </c>
      <c r="D76" s="14" t="str">
        <f ca="1">IFERROR(__xludf.DUMMYFUNCTION("""COMPUTED_VALUE"""),"MG-JY: 2.499,-")</f>
        <v>MG-JY: 2.499,-</v>
      </c>
      <c r="E76" s="14">
        <f ca="1">IFERROR(__xludf.DUMMYFUNCTION("""COMPUTED_VALUE"""),1201)</f>
        <v>1201</v>
      </c>
      <c r="F76" s="14" t="str">
        <f ca="1">IFERROR(__xludf.DUMMYFUNCTION("""COMPUTED_VALUE"""),"Morten Nielsen")</f>
        <v>Morten Nielsen</v>
      </c>
      <c r="G76" s="14" t="str">
        <f ca="1">IFERROR(__xludf.DUMMYFUNCTION("""COMPUTED_VALUE"""),"moni@home.dk")</f>
        <v>moni@home.dk</v>
      </c>
      <c r="H76" s="14">
        <f ca="1">IFERROR(__xludf.DUMMYFUNCTION("""COMPUTED_VALUE"""),40554262)</f>
        <v>40554262</v>
      </c>
      <c r="I76" s="14" t="str">
        <f ca="1">IFERROR(__xludf.DUMMYFUNCTION("""COMPUTED_VALUE"""),"Læssøegade 178")</f>
        <v>Læssøegade 178</v>
      </c>
      <c r="J76" s="14">
        <f ca="1">IFERROR(__xludf.DUMMYFUNCTION("""COMPUTED_VALUE"""),5230)</f>
        <v>5230</v>
      </c>
      <c r="K76" s="14" t="str">
        <f ca="1">IFERROR(__xludf.DUMMYFUNCTION("""COMPUTED_VALUE"""),"Odense M")</f>
        <v>Odense M</v>
      </c>
      <c r="L76" s="14" t="str">
        <f ca="1">IFERROR(__xludf.DUMMYFUNCTION("""COMPUTED_VALUE"""),"Odense")</f>
        <v>Odense</v>
      </c>
      <c r="M76" s="14" t="str">
        <f ca="1">IFERROR(__xludf.DUMMYFUNCTION("""COMPUTED_VALUE"""),"Fyn")</f>
        <v>Fyn</v>
      </c>
      <c r="N76" s="14" t="str">
        <f ca="1">IFERROR(__xludf.DUMMYFUNCTION("""COMPUTED_VALUE"""),"Syddanmark")</f>
        <v>Syddanmark</v>
      </c>
      <c r="O76" s="14">
        <f ca="1">IFERROR(__xludf.DUMMYFUNCTION("""COMPUTED_VALUE"""),66144233)</f>
        <v>66144233</v>
      </c>
      <c r="P76" s="14" t="str">
        <f ca="1">IFERROR(__xludf.DUMMYFUNCTION("""COMPUTED_VALUE"""),"908@home.dk")</f>
        <v>908@home.dk</v>
      </c>
      <c r="Q76" s="15" t="str">
        <f ca="1">IFERROR(__xludf.DUMMYFUNCTION("""COMPUTED_VALUE"""),"https://www.boliga.dk/maegler/372")</f>
        <v>https://www.boliga.dk/maegler/372</v>
      </c>
      <c r="R76" s="14" t="str">
        <f ca="1">IFERROR(__xludf.DUMMYFUNCTION("""COMPUTED_VALUE"""),"-")</f>
        <v>-</v>
      </c>
      <c r="S76" s="14" t="str">
        <f ca="1">IFERROR(__xludf.DUMMYFUNCTION("""COMPUTED_VALUE"""),"-")</f>
        <v>-</v>
      </c>
      <c r="T76" s="14" t="str">
        <f ca="1">IFERROR(__xludf.DUMMYFUNCTION("""COMPUTED_VALUE"""),"-")</f>
        <v>-</v>
      </c>
      <c r="U76" s="14">
        <f ca="1">IFERROR(__xludf.DUMMYFUNCTION("""COMPUTED_VALUE"""),26)</f>
        <v>26</v>
      </c>
      <c r="V76" s="14" t="str">
        <f ca="1">IFERROR(__xludf.DUMMYFUNCTION("""COMPUTED_VALUE"""),"5683, 5250, 5000, 5550, 5230, 5260, 5672")</f>
        <v>5683, 5250, 5000, 5550, 5230, 5260, 5672</v>
      </c>
      <c r="W76" s="14">
        <f ca="1">IFERROR(__xludf.DUMMYFUNCTION("""COMPUTED_VALUE"""),13)</f>
        <v>13</v>
      </c>
      <c r="X76" s="14" t="str">
        <f ca="1">IFERROR(__xludf.DUMMYFUNCTION("""COMPUTED_VALUE"""),"5390, 5000, 5250, 5230, 5260")</f>
        <v>5390, 5000, 5250, 5230, 5260</v>
      </c>
      <c r="Y76" s="14" t="str">
        <f ca="1">IFERROR(__xludf.DUMMYFUNCTION("""COMPUTED_VALUE"""),"ja")</f>
        <v>ja</v>
      </c>
      <c r="Z76" s="14"/>
      <c r="AA76" s="14"/>
      <c r="AB76" s="14" t="str">
        <f ca="1">IFERROR(__xludf.DUMMYFUNCTION("""COMPUTED_VALUE"""),"x")</f>
        <v>x</v>
      </c>
      <c r="AC76" s="14" t="str">
        <f ca="1">IFERROR(__xludf.DUMMYFUNCTION("""COMPUTED_VALUE"""),"x")</f>
        <v>x</v>
      </c>
    </row>
    <row r="77" spans="1:29" ht="12.5" x14ac:dyDescent="0.25">
      <c r="A77" s="14" t="str">
        <f ca="1">IFERROR(__xludf.DUMMYFUNCTION("""COMPUTED_VALUE"""),"Camilla")</f>
        <v>Camilla</v>
      </c>
      <c r="B77" s="14" t="str">
        <f ca="1">IFERROR(__xludf.DUMMYFUNCTION("""COMPUTED_VALUE"""),"home Kerteminde - Munkebo")</f>
        <v>home Kerteminde - Munkebo</v>
      </c>
      <c r="C77" s="14">
        <f ca="1">IFERROR(__xludf.DUMMYFUNCTION("""COMPUTED_VALUE"""),40548823)</f>
        <v>40548823</v>
      </c>
      <c r="D77" s="14" t="str">
        <f ca="1">IFERROR(__xludf.DUMMYFUNCTION("""COMPUTED_VALUE"""),"MG-JY: 2.499,-")</f>
        <v>MG-JY: 2.499,-</v>
      </c>
      <c r="E77" s="14">
        <f ca="1">IFERROR(__xludf.DUMMYFUNCTION("""COMPUTED_VALUE"""),1201)</f>
        <v>1201</v>
      </c>
      <c r="F77" s="14" t="str">
        <f ca="1">IFERROR(__xludf.DUMMYFUNCTION("""COMPUTED_VALUE"""),"Simon Gavnbo")</f>
        <v>Simon Gavnbo</v>
      </c>
      <c r="G77" s="14" t="str">
        <f ca="1">IFERROR(__xludf.DUMMYFUNCTION("""COMPUTED_VALUE"""),"siga@home.dk")</f>
        <v>siga@home.dk</v>
      </c>
      <c r="H77" s="14">
        <f ca="1">IFERROR(__xludf.DUMMYFUNCTION("""COMPUTED_VALUE"""),91338998)</f>
        <v>91338998</v>
      </c>
      <c r="I77" s="14" t="str">
        <f ca="1">IFERROR(__xludf.DUMMYFUNCTION("""COMPUTED_VALUE"""),"Hans Schacksvej 6")</f>
        <v>Hans Schacksvej 6</v>
      </c>
      <c r="J77" s="14">
        <f ca="1">IFERROR(__xludf.DUMMYFUNCTION("""COMPUTED_VALUE"""),5300)</f>
        <v>5300</v>
      </c>
      <c r="K77" s="14" t="str">
        <f ca="1">IFERROR(__xludf.DUMMYFUNCTION("""COMPUTED_VALUE"""),"Kerteminde")</f>
        <v>Kerteminde</v>
      </c>
      <c r="L77" s="14" t="str">
        <f ca="1">IFERROR(__xludf.DUMMYFUNCTION("""COMPUTED_VALUE"""),"Kerteminde")</f>
        <v>Kerteminde</v>
      </c>
      <c r="M77" s="14" t="str">
        <f ca="1">IFERROR(__xludf.DUMMYFUNCTION("""COMPUTED_VALUE"""),"Fyn")</f>
        <v>Fyn</v>
      </c>
      <c r="N77" s="14" t="str">
        <f ca="1">IFERROR(__xludf.DUMMYFUNCTION("""COMPUTED_VALUE"""),"Syddanmark")</f>
        <v>Syddanmark</v>
      </c>
      <c r="O77" s="14">
        <f ca="1">IFERROR(__xludf.DUMMYFUNCTION("""COMPUTED_VALUE"""),65324404)</f>
        <v>65324404</v>
      </c>
      <c r="P77" s="14" t="str">
        <f ca="1">IFERROR(__xludf.DUMMYFUNCTION("""COMPUTED_VALUE"""),"918@home.dk")</f>
        <v>918@home.dk</v>
      </c>
      <c r="Q77" s="15" t="str">
        <f ca="1">IFERROR(__xludf.DUMMYFUNCTION("""COMPUTED_VALUE"""),"https://www.boliga.dk/maegler/574")</f>
        <v>https://www.boliga.dk/maegler/574</v>
      </c>
      <c r="R77" s="14" t="str">
        <f ca="1">IFERROR(__xludf.DUMMYFUNCTION("""COMPUTED_VALUE"""),"-")</f>
        <v>-</v>
      </c>
      <c r="S77" s="14" t="str">
        <f ca="1">IFERROR(__xludf.DUMMYFUNCTION("""COMPUTED_VALUE"""),"-")</f>
        <v>-</v>
      </c>
      <c r="T77" s="14" t="str">
        <f ca="1">IFERROR(__xludf.DUMMYFUNCTION("""COMPUTED_VALUE"""),"-")</f>
        <v>-</v>
      </c>
      <c r="U77" s="14">
        <f ca="1">IFERROR(__xludf.DUMMYFUNCTION("""COMPUTED_VALUE"""),25)</f>
        <v>25</v>
      </c>
      <c r="V77" s="14" t="str">
        <f ca="1">IFERROR(__xludf.DUMMYFUNCTION("""COMPUTED_VALUE"""),"5550, 5330, 5300, 5390, 5370, 5380, 5350")</f>
        <v>5550, 5330, 5300, 5390, 5370, 5380, 5350</v>
      </c>
      <c r="W77" s="14">
        <f ca="1">IFERROR(__xludf.DUMMYFUNCTION("""COMPUTED_VALUE"""),32)</f>
        <v>32</v>
      </c>
      <c r="X77" s="14" t="str">
        <f ca="1">IFERROR(__xludf.DUMMYFUNCTION("""COMPUTED_VALUE"""),"5550, 5330, 5370, 5390, 5210, 5380, 5300")</f>
        <v>5550, 5330, 5370, 5390, 5210, 5380, 5300</v>
      </c>
      <c r="Y77" s="14" t="str">
        <f ca="1">IFERROR(__xludf.DUMMYFUNCTION("""COMPUTED_VALUE"""),"ja")</f>
        <v>ja</v>
      </c>
      <c r="Z77" s="14"/>
      <c r="AA77" s="14"/>
      <c r="AB77" s="14" t="str">
        <f ca="1">IFERROR(__xludf.DUMMYFUNCTION("""COMPUTED_VALUE"""),"x")</f>
        <v>x</v>
      </c>
      <c r="AC77" s="14" t="str">
        <f ca="1">IFERROR(__xludf.DUMMYFUNCTION("""COMPUTED_VALUE"""),"x")</f>
        <v>x</v>
      </c>
    </row>
    <row r="78" spans="1:29" ht="12.5" x14ac:dyDescent="0.25">
      <c r="A78" s="14" t="str">
        <f ca="1">IFERROR(__xludf.DUMMYFUNCTION("""COMPUTED_VALUE"""),"Camilla")</f>
        <v>Camilla</v>
      </c>
      <c r="B78" s="14" t="str">
        <f ca="1">IFERROR(__xludf.DUMMYFUNCTION("""COMPUTED_VALUE"""),"home Nyborg")</f>
        <v>home Nyborg</v>
      </c>
      <c r="C78" s="14">
        <f ca="1">IFERROR(__xludf.DUMMYFUNCTION("""COMPUTED_VALUE"""),40548823)</f>
        <v>40548823</v>
      </c>
      <c r="D78" s="14" t="str">
        <f ca="1">IFERROR(__xludf.DUMMYFUNCTION("""COMPUTED_VALUE"""),"MG-JY: 2.499,-")</f>
        <v>MG-JY: 2.499,-</v>
      </c>
      <c r="E78" s="14">
        <f ca="1">IFERROR(__xludf.DUMMYFUNCTION("""COMPUTED_VALUE"""),1201)</f>
        <v>1201</v>
      </c>
      <c r="F78" s="14" t="str">
        <f ca="1">IFERROR(__xludf.DUMMYFUNCTION("""COMPUTED_VALUE"""),"Simon Gavnbo")</f>
        <v>Simon Gavnbo</v>
      </c>
      <c r="G78" s="14" t="str">
        <f ca="1">IFERROR(__xludf.DUMMYFUNCTION("""COMPUTED_VALUE"""),"siga@home.dk")</f>
        <v>siga@home.dk</v>
      </c>
      <c r="H78" s="14">
        <f ca="1">IFERROR(__xludf.DUMMYFUNCTION("""COMPUTED_VALUE"""),91338998)</f>
        <v>91338998</v>
      </c>
      <c r="I78" s="14" t="str">
        <f ca="1">IFERROR(__xludf.DUMMYFUNCTION("""COMPUTED_VALUE"""),"Korsgade 17")</f>
        <v>Korsgade 17</v>
      </c>
      <c r="J78" s="14">
        <f ca="1">IFERROR(__xludf.DUMMYFUNCTION("""COMPUTED_VALUE"""),5800)</f>
        <v>5800</v>
      </c>
      <c r="K78" s="14" t="str">
        <f ca="1">IFERROR(__xludf.DUMMYFUNCTION("""COMPUTED_VALUE"""),"Nyborg")</f>
        <v>Nyborg</v>
      </c>
      <c r="L78" s="14" t="str">
        <f ca="1">IFERROR(__xludf.DUMMYFUNCTION("""COMPUTED_VALUE"""),"Nyborg")</f>
        <v>Nyborg</v>
      </c>
      <c r="M78" s="14" t="str">
        <f ca="1">IFERROR(__xludf.DUMMYFUNCTION("""COMPUTED_VALUE"""),"Fyn")</f>
        <v>Fyn</v>
      </c>
      <c r="N78" s="14" t="str">
        <f ca="1">IFERROR(__xludf.DUMMYFUNCTION("""COMPUTED_VALUE"""),"Syddanmark")</f>
        <v>Syddanmark</v>
      </c>
      <c r="O78" s="14">
        <f ca="1">IFERROR(__xludf.DUMMYFUNCTION("""COMPUTED_VALUE"""),65316464)</f>
        <v>65316464</v>
      </c>
      <c r="P78" s="14" t="str">
        <f ca="1">IFERROR(__xludf.DUMMYFUNCTION("""COMPUTED_VALUE"""),"903@home.dk")</f>
        <v>903@home.dk</v>
      </c>
      <c r="Q78" s="15" t="str">
        <f ca="1">IFERROR(__xludf.DUMMYFUNCTION("""COMPUTED_VALUE"""),"https://www.boliga.dk/maegler/939")</f>
        <v>https://www.boliga.dk/maegler/939</v>
      </c>
      <c r="R78" s="14" t="str">
        <f ca="1">IFERROR(__xludf.DUMMYFUNCTION("""COMPUTED_VALUE"""),"-")</f>
        <v>-</v>
      </c>
      <c r="S78" s="14" t="str">
        <f ca="1">IFERROR(__xludf.DUMMYFUNCTION("""COMPUTED_VALUE"""),"-")</f>
        <v>-</v>
      </c>
      <c r="T78" s="14" t="str">
        <f ca="1">IFERROR(__xludf.DUMMYFUNCTION("""COMPUTED_VALUE"""),"-")</f>
        <v>-</v>
      </c>
      <c r="U78" s="14">
        <f ca="1">IFERROR(__xludf.DUMMYFUNCTION("""COMPUTED_VALUE"""),23)</f>
        <v>23</v>
      </c>
      <c r="V78" s="14" t="str">
        <f ca="1">IFERROR(__xludf.DUMMYFUNCTION("""COMPUTED_VALUE"""),"5800, 5540, 5853, 5871")</f>
        <v>5800, 5540, 5853, 5871</v>
      </c>
      <c r="W78" s="14">
        <f ca="1">IFERROR(__xludf.DUMMYFUNCTION("""COMPUTED_VALUE"""),27)</f>
        <v>27</v>
      </c>
      <c r="X78" s="14" t="str">
        <f ca="1">IFERROR(__xludf.DUMMYFUNCTION("""COMPUTED_VALUE"""),"5800, 5540, 5853, 5871")</f>
        <v>5800, 5540, 5853, 5871</v>
      </c>
      <c r="Y78" s="14" t="str">
        <f ca="1">IFERROR(__xludf.DUMMYFUNCTION("""COMPUTED_VALUE"""),"ja")</f>
        <v>ja</v>
      </c>
      <c r="Z78" s="14"/>
      <c r="AA78" s="14"/>
      <c r="AB78" s="14" t="str">
        <f ca="1">IFERROR(__xludf.DUMMYFUNCTION("""COMPUTED_VALUE"""),"x")</f>
        <v>x</v>
      </c>
      <c r="AC78" s="14" t="str">
        <f ca="1">IFERROR(__xludf.DUMMYFUNCTION("""COMPUTED_VALUE"""),"x")</f>
        <v>x</v>
      </c>
    </row>
    <row r="79" spans="1:29" ht="12.5" x14ac:dyDescent="0.25">
      <c r="A79" s="14" t="str">
        <f ca="1">IFERROR(__xludf.DUMMYFUNCTION("""COMPUTED_VALUE"""),"Camilla")</f>
        <v>Camilla</v>
      </c>
      <c r="B79" s="14" t="str">
        <f ca="1">IFERROR(__xludf.DUMMYFUNCTION("""COMPUTED_VALUE"""),"home Odense Syd-Øst")</f>
        <v>home Odense Syd-Øst</v>
      </c>
      <c r="C79" s="14">
        <f ca="1">IFERROR(__xludf.DUMMYFUNCTION("""COMPUTED_VALUE"""),33937385)</f>
        <v>33937385</v>
      </c>
      <c r="D79" s="14" t="str">
        <f ca="1">IFERROR(__xludf.DUMMYFUNCTION("""COMPUTED_VALUE"""),"MG-JY: 2.499,-")</f>
        <v>MG-JY: 2.499,-</v>
      </c>
      <c r="E79" s="14">
        <f ca="1">IFERROR(__xludf.DUMMYFUNCTION("""COMPUTED_VALUE"""),1201)</f>
        <v>1201</v>
      </c>
      <c r="F79" s="14" t="str">
        <f ca="1">IFERROR(__xludf.DUMMYFUNCTION("""COMPUTED_VALUE"""),"Morten Nielsen")</f>
        <v>Morten Nielsen</v>
      </c>
      <c r="G79" s="14" t="str">
        <f ca="1">IFERROR(__xludf.DUMMYFUNCTION("""COMPUTED_VALUE"""),"moni@home.dk")</f>
        <v>moni@home.dk</v>
      </c>
      <c r="H79" s="14">
        <f ca="1">IFERROR(__xludf.DUMMYFUNCTION("""COMPUTED_VALUE"""),40554262)</f>
        <v>40554262</v>
      </c>
      <c r="I79" s="14" t="str">
        <f ca="1">IFERROR(__xludf.DUMMYFUNCTION("""COMPUTED_VALUE"""),"Ørbækvej 101")</f>
        <v>Ørbækvej 101</v>
      </c>
      <c r="J79" s="14">
        <f ca="1">IFERROR(__xludf.DUMMYFUNCTION("""COMPUTED_VALUE"""),5220)</f>
        <v>5220</v>
      </c>
      <c r="K79" s="14" t="str">
        <f ca="1">IFERROR(__xludf.DUMMYFUNCTION("""COMPUTED_VALUE"""),"Odense SØ")</f>
        <v>Odense SØ</v>
      </c>
      <c r="L79" s="14" t="str">
        <f ca="1">IFERROR(__xludf.DUMMYFUNCTION("""COMPUTED_VALUE"""),"Odense")</f>
        <v>Odense</v>
      </c>
      <c r="M79" s="14" t="str">
        <f ca="1">IFERROR(__xludf.DUMMYFUNCTION("""COMPUTED_VALUE"""),"Fyn")</f>
        <v>Fyn</v>
      </c>
      <c r="N79" s="14" t="str">
        <f ca="1">IFERROR(__xludf.DUMMYFUNCTION("""COMPUTED_VALUE"""),"Syddanmark")</f>
        <v>Syddanmark</v>
      </c>
      <c r="O79" s="14">
        <f ca="1">IFERROR(__xludf.DUMMYFUNCTION("""COMPUTED_VALUE"""),65904080)</f>
        <v>65904080</v>
      </c>
      <c r="P79" s="14" t="str">
        <f ca="1">IFERROR(__xludf.DUMMYFUNCTION("""COMPUTED_VALUE"""),"922@home.dk")</f>
        <v>922@home.dk</v>
      </c>
      <c r="Q79" s="15" t="str">
        <f ca="1">IFERROR(__xludf.DUMMYFUNCTION("""COMPUTED_VALUE"""),"https://www.boliga.dk/maegler/18601")</f>
        <v>https://www.boliga.dk/maegler/18601</v>
      </c>
      <c r="R79" s="14" t="str">
        <f ca="1">IFERROR(__xludf.DUMMYFUNCTION("""COMPUTED_VALUE"""),"-")</f>
        <v>-</v>
      </c>
      <c r="S79" s="14" t="str">
        <f ca="1">IFERROR(__xludf.DUMMYFUNCTION("""COMPUTED_VALUE"""),"-")</f>
        <v>-</v>
      </c>
      <c r="T79" s="14" t="str">
        <f ca="1">IFERROR(__xludf.DUMMYFUNCTION("""COMPUTED_VALUE"""),"-")</f>
        <v>-</v>
      </c>
      <c r="U79" s="14">
        <f ca="1">IFERROR(__xludf.DUMMYFUNCTION("""COMPUTED_VALUE"""),19)</f>
        <v>19</v>
      </c>
      <c r="V79" s="14" t="str">
        <f ca="1">IFERROR(__xludf.DUMMYFUNCTION("""COMPUTED_VALUE"""),"5220, 5672, 5240, 5690, 5260, 5683, 5390")</f>
        <v>5220, 5672, 5240, 5690, 5260, 5683, 5390</v>
      </c>
      <c r="W79" s="14">
        <f ca="1">IFERROR(__xludf.DUMMYFUNCTION("""COMPUTED_VALUE"""),12)</f>
        <v>12</v>
      </c>
      <c r="X79" s="14" t="str">
        <f ca="1">IFERROR(__xludf.DUMMYFUNCTION("""COMPUTED_VALUE"""),"5220, 5800, 5260")</f>
        <v>5220, 5800, 5260</v>
      </c>
      <c r="Y79" s="14" t="str">
        <f ca="1">IFERROR(__xludf.DUMMYFUNCTION("""COMPUTED_VALUE"""),"ja")</f>
        <v>ja</v>
      </c>
      <c r="Z79" s="14"/>
      <c r="AA79" s="14"/>
      <c r="AB79" s="14" t="str">
        <f ca="1">IFERROR(__xludf.DUMMYFUNCTION("""COMPUTED_VALUE"""),"x")</f>
        <v>x</v>
      </c>
      <c r="AC79" s="14" t="str">
        <f ca="1">IFERROR(__xludf.DUMMYFUNCTION("""COMPUTED_VALUE"""),"x")</f>
        <v>x</v>
      </c>
    </row>
    <row r="80" spans="1:29" ht="12.5" x14ac:dyDescent="0.25">
      <c r="A80" s="14" t="str">
        <f ca="1">IFERROR(__xludf.DUMMYFUNCTION("""COMPUTED_VALUE"""),"Camilla")</f>
        <v>Camilla</v>
      </c>
      <c r="B80" s="14" t="str">
        <f ca="1">IFERROR(__xludf.DUMMYFUNCTION("""COMPUTED_VALUE"""),"home Skibhusvej")</f>
        <v>home Skibhusvej</v>
      </c>
      <c r="C80" s="15">
        <f ca="1">IFERROR(__xludf.DUMMYFUNCTION("""COMPUTED_VALUE"""),34136939)</f>
        <v>34136939</v>
      </c>
      <c r="D80" s="14" t="str">
        <f ca="1">IFERROR(__xludf.DUMMYFUNCTION("""COMPUTED_VALUE"""),"MG-JY: 2.499,-")</f>
        <v>MG-JY: 2.499,-</v>
      </c>
      <c r="E80" s="14">
        <f ca="1">IFERROR(__xludf.DUMMYFUNCTION("""COMPUTED_VALUE"""),1201)</f>
        <v>1201</v>
      </c>
      <c r="F80" s="14" t="str">
        <f ca="1">IFERROR(__xludf.DUMMYFUNCTION("""COMPUTED_VALUE"""),"Henrik Christoffersen")</f>
        <v>Henrik Christoffersen</v>
      </c>
      <c r="G80" s="14" t="str">
        <f ca="1">IFERROR(__xludf.DUMMYFUNCTION("""COMPUTED_VALUE"""),"hchris@home.dk")</f>
        <v>hchris@home.dk</v>
      </c>
      <c r="H80" s="14">
        <f ca="1">IFERROR(__xludf.DUMMYFUNCTION("""COMPUTED_VALUE"""),40845091)</f>
        <v>40845091</v>
      </c>
      <c r="I80" s="14" t="str">
        <f ca="1">IFERROR(__xludf.DUMMYFUNCTION("""COMPUTED_VALUE"""),"Skibhusvej 126")</f>
        <v>Skibhusvej 126</v>
      </c>
      <c r="J80" s="14">
        <f ca="1">IFERROR(__xludf.DUMMYFUNCTION("""COMPUTED_VALUE"""),5000)</f>
        <v>5000</v>
      </c>
      <c r="K80" s="14" t="str">
        <f ca="1">IFERROR(__xludf.DUMMYFUNCTION("""COMPUTED_VALUE"""),"Odense C")</f>
        <v>Odense C</v>
      </c>
      <c r="L80" s="14" t="str">
        <f ca="1">IFERROR(__xludf.DUMMYFUNCTION("""COMPUTED_VALUE"""),"Odense")</f>
        <v>Odense</v>
      </c>
      <c r="M80" s="14" t="str">
        <f ca="1">IFERROR(__xludf.DUMMYFUNCTION("""COMPUTED_VALUE"""),"Fyn")</f>
        <v>Fyn</v>
      </c>
      <c r="N80" s="14" t="str">
        <f ca="1">IFERROR(__xludf.DUMMYFUNCTION("""COMPUTED_VALUE"""),"Syddanmark")</f>
        <v>Syddanmark</v>
      </c>
      <c r="O80" s="14">
        <f ca="1">IFERROR(__xludf.DUMMYFUNCTION("""COMPUTED_VALUE"""),66139300)</f>
        <v>66139300</v>
      </c>
      <c r="P80" s="14" t="str">
        <f ca="1">IFERROR(__xludf.DUMMYFUNCTION("""COMPUTED_VALUE"""),"910@home.dk")</f>
        <v>910@home.dk</v>
      </c>
      <c r="Q80" s="15" t="str">
        <f ca="1">IFERROR(__xludf.DUMMYFUNCTION("""COMPUTED_VALUE"""),"https://www.boliga.dk/maegler/908")</f>
        <v>https://www.boliga.dk/maegler/908</v>
      </c>
      <c r="R80" s="14" t="str">
        <f ca="1">IFERROR(__xludf.DUMMYFUNCTION("""COMPUTED_VALUE"""),"-")</f>
        <v>-</v>
      </c>
      <c r="S80" s="14" t="str">
        <f ca="1">IFERROR(__xludf.DUMMYFUNCTION("""COMPUTED_VALUE"""),"-")</f>
        <v>-</v>
      </c>
      <c r="T80" s="14" t="str">
        <f ca="1">IFERROR(__xludf.DUMMYFUNCTION("""COMPUTED_VALUE"""),"-")</f>
        <v>-</v>
      </c>
      <c r="U80" s="14">
        <f ca="1">IFERROR(__xludf.DUMMYFUNCTION("""COMPUTED_VALUE"""),32)</f>
        <v>32</v>
      </c>
      <c r="V80" s="14" t="str">
        <f ca="1">IFERROR(__xludf.DUMMYFUNCTION("""COMPUTED_VALUE"""),"5000, 5690, 5250, 5290, 5260, 5230, 5220, 5320, 5792")</f>
        <v>5000, 5690, 5250, 5290, 5260, 5230, 5220, 5320, 5792</v>
      </c>
      <c r="W80" s="14">
        <f ca="1">IFERROR(__xludf.DUMMYFUNCTION("""COMPUTED_VALUE"""),34)</f>
        <v>34</v>
      </c>
      <c r="X80" s="14" t="str">
        <f ca="1">IFERROR(__xludf.DUMMYFUNCTION("""COMPUTED_VALUE"""),"5250, 5230, 5000, 5240, 5260, 5320")</f>
        <v>5250, 5230, 5000, 5240, 5260, 5320</v>
      </c>
      <c r="Y80" s="14" t="str">
        <f ca="1">IFERROR(__xludf.DUMMYFUNCTION("""COMPUTED_VALUE"""),"ja")</f>
        <v>ja</v>
      </c>
      <c r="Z80" s="14"/>
      <c r="AA80" s="14"/>
      <c r="AB80" s="14" t="str">
        <f ca="1">IFERROR(__xludf.DUMMYFUNCTION("""COMPUTED_VALUE"""),"x")</f>
        <v>x</v>
      </c>
      <c r="AC80" s="14" t="str">
        <f ca="1">IFERROR(__xludf.DUMMYFUNCTION("""COMPUTED_VALUE"""),"x")</f>
        <v>x</v>
      </c>
    </row>
    <row r="81" spans="1:29" ht="12.5" x14ac:dyDescent="0.25">
      <c r="A81" s="14" t="str">
        <f ca="1">IFERROR(__xludf.DUMMYFUNCTION("""COMPUTED_VALUE"""),"Camilla")</f>
        <v>Camilla</v>
      </c>
      <c r="B81" s="14" t="str">
        <f ca="1">IFERROR(__xludf.DUMMYFUNCTION("""COMPUTED_VALUE"""),"home Svendborg")</f>
        <v>home Svendborg</v>
      </c>
      <c r="C81" s="15">
        <f ca="1">IFERROR(__xludf.DUMMYFUNCTION("""COMPUTED_VALUE"""),41209690)</f>
        <v>41209690</v>
      </c>
      <c r="D81" s="14" t="str">
        <f ca="1">IFERROR(__xludf.DUMMYFUNCTION("""COMPUTED_VALUE"""),"MG-JY: 2.499,-")</f>
        <v>MG-JY: 2.499,-</v>
      </c>
      <c r="E81" s="14">
        <f ca="1">IFERROR(__xludf.DUMMYFUNCTION("""COMPUTED_VALUE"""),1201)</f>
        <v>1201</v>
      </c>
      <c r="F81" s="14" t="str">
        <f ca="1">IFERROR(__xludf.DUMMYFUNCTION("""COMPUTED_VALUE"""),"Mark Mahler")</f>
        <v>Mark Mahler</v>
      </c>
      <c r="G81" s="14" t="str">
        <f ca="1">IFERROR(__xludf.DUMMYFUNCTION("""COMPUTED_VALUE"""),"markm@home.dk")</f>
        <v>markm@home.dk</v>
      </c>
      <c r="H81" s="14">
        <f ca="1">IFERROR(__xludf.DUMMYFUNCTION("""COMPUTED_VALUE"""),60918010)</f>
        <v>60918010</v>
      </c>
      <c r="I81" s="14" t="str">
        <f ca="1">IFERROR(__xludf.DUMMYFUNCTION("""COMPUTED_VALUE"""),"Tinghusgade 18")</f>
        <v>Tinghusgade 18</v>
      </c>
      <c r="J81" s="14">
        <f ca="1">IFERROR(__xludf.DUMMYFUNCTION("""COMPUTED_VALUE"""),5700)</f>
        <v>5700</v>
      </c>
      <c r="K81" s="14" t="str">
        <f ca="1">IFERROR(__xludf.DUMMYFUNCTION("""COMPUTED_VALUE"""),"Svendborg")</f>
        <v>Svendborg</v>
      </c>
      <c r="L81" s="14" t="str">
        <f ca="1">IFERROR(__xludf.DUMMYFUNCTION("""COMPUTED_VALUE"""),"Svendborg")</f>
        <v>Svendborg</v>
      </c>
      <c r="M81" s="14" t="str">
        <f ca="1">IFERROR(__xludf.DUMMYFUNCTION("""COMPUTED_VALUE"""),"Fyn")</f>
        <v>Fyn</v>
      </c>
      <c r="N81" s="14" t="str">
        <f ca="1">IFERROR(__xludf.DUMMYFUNCTION("""COMPUTED_VALUE"""),"Syddanmark")</f>
        <v>Syddanmark</v>
      </c>
      <c r="O81" s="14">
        <f ca="1">IFERROR(__xludf.DUMMYFUNCTION("""COMPUTED_VALUE"""),62214200)</f>
        <v>62214200</v>
      </c>
      <c r="P81" s="14" t="str">
        <f ca="1">IFERROR(__xludf.DUMMYFUNCTION("""COMPUTED_VALUE"""),"902@home.dk")</f>
        <v>902@home.dk</v>
      </c>
      <c r="Q81" s="15" t="str">
        <f ca="1">IFERROR(__xludf.DUMMYFUNCTION("""COMPUTED_VALUE"""),"https://www.boliga.dk/maegler/679")</f>
        <v>https://www.boliga.dk/maegler/679</v>
      </c>
      <c r="R81" s="14" t="str">
        <f ca="1">IFERROR(__xludf.DUMMYFUNCTION("""COMPUTED_VALUE"""),"-")</f>
        <v>-</v>
      </c>
      <c r="S81" s="14" t="str">
        <f ca="1">IFERROR(__xludf.DUMMYFUNCTION("""COMPUTED_VALUE"""),"-")</f>
        <v>-</v>
      </c>
      <c r="T81" s="14" t="str">
        <f ca="1">IFERROR(__xludf.DUMMYFUNCTION("""COMPUTED_VALUE"""),"-")</f>
        <v>-</v>
      </c>
      <c r="U81" s="14">
        <f ca="1">IFERROR(__xludf.DUMMYFUNCTION("""COMPUTED_VALUE"""),37)</f>
        <v>37</v>
      </c>
      <c r="V81" s="14" t="str">
        <f ca="1">IFERROR(__xludf.DUMMYFUNCTION("""COMPUTED_VALUE"""),"5935, 5700, 5771, 5874, 5883, 5762, 5953, 5900, 5881, 5932")</f>
        <v>5935, 5700, 5771, 5874, 5883, 5762, 5953, 5900, 5881, 5932</v>
      </c>
      <c r="W81" s="14">
        <f ca="1">IFERROR(__xludf.DUMMYFUNCTION("""COMPUTED_VALUE"""),35)</f>
        <v>35</v>
      </c>
      <c r="X81" s="14" t="str">
        <f ca="1">IFERROR(__xludf.DUMMYFUNCTION("""COMPUTED_VALUE"""),"5884, 5700, 5771, 5892, 5883, 5762, 5882, 5900, 5953, 5881, 5932")</f>
        <v>5884, 5700, 5771, 5892, 5883, 5762, 5882, 5900, 5953, 5881, 5932</v>
      </c>
      <c r="Y81" s="14" t="str">
        <f ca="1">IFERROR(__xludf.DUMMYFUNCTION("""COMPUTED_VALUE"""),"ja")</f>
        <v>ja</v>
      </c>
      <c r="Z81" s="14"/>
      <c r="AA81" s="14"/>
      <c r="AB81" s="14" t="str">
        <f ca="1">IFERROR(__xludf.DUMMYFUNCTION("""COMPUTED_VALUE"""),"x")</f>
        <v>x</v>
      </c>
      <c r="AC81" s="14" t="str">
        <f ca="1">IFERROR(__xludf.DUMMYFUNCTION("""COMPUTED_VALUE"""),"x")</f>
        <v>x</v>
      </c>
    </row>
    <row r="82" spans="1:29" ht="12.5" x14ac:dyDescent="0.25">
      <c r="A82" s="14" t="str">
        <f ca="1">IFERROR(__xludf.DUMMYFUNCTION("""COMPUTED_VALUE"""),"Camilla")</f>
        <v>Camilla</v>
      </c>
      <c r="B82" s="14" t="str">
        <f ca="1">IFERROR(__xludf.DUMMYFUNCTION("""COMPUTED_VALUE"""),"home Tarup")</f>
        <v>home Tarup</v>
      </c>
      <c r="C82" s="14">
        <f ca="1">IFERROR(__xludf.DUMMYFUNCTION("""COMPUTED_VALUE"""),28928904)</f>
        <v>28928904</v>
      </c>
      <c r="D82" s="14" t="str">
        <f ca="1">IFERROR(__xludf.DUMMYFUNCTION("""COMPUTED_VALUE"""),"MG-JY: 2.499,-")</f>
        <v>MG-JY: 2.499,-</v>
      </c>
      <c r="E82" s="14">
        <f ca="1">IFERROR(__xludf.DUMMYFUNCTION("""COMPUTED_VALUE"""),1201)</f>
        <v>1201</v>
      </c>
      <c r="F82" s="14" t="str">
        <f ca="1">IFERROR(__xludf.DUMMYFUNCTION("""COMPUTED_VALUE"""),"Morten Nielsen")</f>
        <v>Morten Nielsen</v>
      </c>
      <c r="G82" s="14" t="str">
        <f ca="1">IFERROR(__xludf.DUMMYFUNCTION("""COMPUTED_VALUE"""),"moni@home.dk")</f>
        <v>moni@home.dk</v>
      </c>
      <c r="H82" s="14">
        <f ca="1">IFERROR(__xludf.DUMMYFUNCTION("""COMPUTED_VALUE"""),40554262)</f>
        <v>40554262</v>
      </c>
      <c r="I82" s="14" t="str">
        <f ca="1">IFERROR(__xludf.DUMMYFUNCTION("""COMPUTED_VALUE"""),"Rugårdsvej 210")</f>
        <v>Rugårdsvej 210</v>
      </c>
      <c r="J82" s="14">
        <f ca="1">IFERROR(__xludf.DUMMYFUNCTION("""COMPUTED_VALUE"""),5210)</f>
        <v>5210</v>
      </c>
      <c r="K82" s="14" t="str">
        <f ca="1">IFERROR(__xludf.DUMMYFUNCTION("""COMPUTED_VALUE"""),"Odense NV")</f>
        <v>Odense NV</v>
      </c>
      <c r="L82" s="14" t="str">
        <f ca="1">IFERROR(__xludf.DUMMYFUNCTION("""COMPUTED_VALUE"""),"Odense")</f>
        <v>Odense</v>
      </c>
      <c r="M82" s="14" t="str">
        <f ca="1">IFERROR(__xludf.DUMMYFUNCTION("""COMPUTED_VALUE"""),"Fyn")</f>
        <v>Fyn</v>
      </c>
      <c r="N82" s="14" t="str">
        <f ca="1">IFERROR(__xludf.DUMMYFUNCTION("""COMPUTED_VALUE"""),"Syddanmark")</f>
        <v>Syddanmark</v>
      </c>
      <c r="O82" s="14">
        <f ca="1">IFERROR(__xludf.DUMMYFUNCTION("""COMPUTED_VALUE"""),66165066)</f>
        <v>66165066</v>
      </c>
      <c r="P82" s="14" t="str">
        <f ca="1">IFERROR(__xludf.DUMMYFUNCTION("""COMPUTED_VALUE"""),"919@home.dk")</f>
        <v>919@home.dk</v>
      </c>
      <c r="Q82" s="15" t="str">
        <f ca="1">IFERROR(__xludf.DUMMYFUNCTION("""COMPUTED_VALUE"""),"https://www.boliga.dk/maegler/287")</f>
        <v>https://www.boliga.dk/maegler/287</v>
      </c>
      <c r="R82" s="14" t="str">
        <f ca="1">IFERROR(__xludf.DUMMYFUNCTION("""COMPUTED_VALUE"""),"-")</f>
        <v>-</v>
      </c>
      <c r="S82" s="14" t="str">
        <f ca="1">IFERROR(__xludf.DUMMYFUNCTION("""COMPUTED_VALUE"""),"-")</f>
        <v>-</v>
      </c>
      <c r="T82" s="14" t="str">
        <f ca="1">IFERROR(__xludf.DUMMYFUNCTION("""COMPUTED_VALUE"""),"-")</f>
        <v>-</v>
      </c>
      <c r="U82" s="14">
        <f ca="1">IFERROR(__xludf.DUMMYFUNCTION("""COMPUTED_VALUE"""),32)</f>
        <v>32</v>
      </c>
      <c r="V82" s="14" t="str">
        <f ca="1">IFERROR(__xludf.DUMMYFUNCTION("""COMPUTED_VALUE"""),"5270, 5610, 5200, 5210, 5450, 5492, 5300, 5474, 5491, 5462, 5772, 5792, 5800")</f>
        <v>5270, 5610, 5200, 5210, 5450, 5492, 5300, 5474, 5491, 5462, 5772, 5792, 5800</v>
      </c>
      <c r="W82" s="14">
        <f ca="1">IFERROR(__xludf.DUMMYFUNCTION("""COMPUTED_VALUE"""),26)</f>
        <v>26</v>
      </c>
      <c r="X82" s="14" t="str">
        <f ca="1">IFERROR(__xludf.DUMMYFUNCTION("""COMPUTED_VALUE"""),"5270, 5492, 5200, 5210, 5491, 5000, 5462")</f>
        <v>5270, 5492, 5200, 5210, 5491, 5000, 5462</v>
      </c>
      <c r="Y82" s="14" t="str">
        <f ca="1">IFERROR(__xludf.DUMMYFUNCTION("""COMPUTED_VALUE"""),"ja")</f>
        <v>ja</v>
      </c>
      <c r="Z82" s="14"/>
      <c r="AA82" s="14"/>
      <c r="AB82" s="14" t="str">
        <f ca="1">IFERROR(__xludf.DUMMYFUNCTION("""COMPUTED_VALUE"""),"x")</f>
        <v>x</v>
      </c>
      <c r="AC82" s="14" t="str">
        <f ca="1">IFERROR(__xludf.DUMMYFUNCTION("""COMPUTED_VALUE"""),"x")</f>
        <v>x</v>
      </c>
    </row>
    <row r="83" spans="1:29" ht="12.5" x14ac:dyDescent="0.25">
      <c r="A83" s="14" t="str">
        <f ca="1">IFERROR(__xludf.DUMMYFUNCTION("""COMPUTED_VALUE"""),"Camilla")</f>
        <v>Camilla</v>
      </c>
      <c r="B83" s="14" t="str">
        <f ca="1">IFERROR(__xludf.DUMMYFUNCTION("""COMPUTED_VALUE"""),"home Bramming")</f>
        <v>home Bramming</v>
      </c>
      <c r="C83" s="14"/>
      <c r="D83" s="14"/>
      <c r="E83" s="14" t="str">
        <f ca="1">IFERROR(__xludf.DUMMYFUNCTION("""COMPUTED_VALUE"""),"N/A")</f>
        <v>N/A</v>
      </c>
      <c r="F83" s="14" t="str">
        <f ca="1">IFERROR(__xludf.DUMMYFUNCTION("""COMPUTED_VALUE"""),"CK")</f>
        <v>CK</v>
      </c>
      <c r="G83" s="14"/>
      <c r="H83" s="14"/>
      <c r="I83" s="14" t="str">
        <f ca="1">IFERROR(__xludf.DUMMYFUNCTION("""COMPUTED_VALUE"""),"Storegade 24")</f>
        <v>Storegade 24</v>
      </c>
      <c r="J83" s="14">
        <f ca="1">IFERROR(__xludf.DUMMYFUNCTION("""COMPUTED_VALUE"""),6740)</f>
        <v>6740</v>
      </c>
      <c r="K83" s="14" t="str">
        <f ca="1">IFERROR(__xludf.DUMMYFUNCTION("""COMPUTED_VALUE"""),"Bramming")</f>
        <v>Bramming</v>
      </c>
      <c r="L83" s="14" t="str">
        <f ca="1">IFERROR(__xludf.DUMMYFUNCTION("""COMPUTED_VALUE"""),"Esbjerg")</f>
        <v>Esbjerg</v>
      </c>
      <c r="M83" s="14" t="str">
        <f ca="1">IFERROR(__xludf.DUMMYFUNCTION("""COMPUTED_VALUE"""),"Sydjylland")</f>
        <v>Sydjylland</v>
      </c>
      <c r="N83" s="14" t="str">
        <f ca="1">IFERROR(__xludf.DUMMYFUNCTION("""COMPUTED_VALUE"""),"Syddanmark")</f>
        <v>Syddanmark</v>
      </c>
      <c r="O83" s="14">
        <f ca="1">IFERROR(__xludf.DUMMYFUNCTION("""COMPUTED_VALUE"""),75101555)</f>
        <v>75101555</v>
      </c>
      <c r="P83" s="14" t="str">
        <f ca="1">IFERROR(__xludf.DUMMYFUNCTION("""COMPUTED_VALUE"""),"711@home.dk")</f>
        <v>711@home.dk</v>
      </c>
      <c r="Q83" s="15" t="str">
        <f ca="1">IFERROR(__xludf.DUMMYFUNCTION("""COMPUTED_VALUE"""),"https://www.boliga.dk/maegler/704")</f>
        <v>https://www.boliga.dk/maegler/704</v>
      </c>
      <c r="R83" s="14" t="str">
        <f ca="1">IFERROR(__xludf.DUMMYFUNCTION("""COMPUTED_VALUE"""),"-")</f>
        <v>-</v>
      </c>
      <c r="S83" s="14" t="str">
        <f ca="1">IFERROR(__xludf.DUMMYFUNCTION("""COMPUTED_VALUE"""),"-")</f>
        <v>-</v>
      </c>
      <c r="T83" s="14" t="str">
        <f ca="1">IFERROR(__xludf.DUMMYFUNCTION("""COMPUTED_VALUE"""),"-")</f>
        <v>-</v>
      </c>
      <c r="U83" s="14">
        <f ca="1">IFERROR(__xludf.DUMMYFUNCTION("""COMPUTED_VALUE"""),30)</f>
        <v>30</v>
      </c>
      <c r="V83" s="14" t="str">
        <f ca="1">IFERROR(__xludf.DUMMYFUNCTION("""COMPUTED_VALUE"""),"6690, 6705, 6818, 6740")</f>
        <v>6690, 6705, 6818, 6740</v>
      </c>
      <c r="W83" s="14">
        <f ca="1">IFERROR(__xludf.DUMMYFUNCTION("""COMPUTED_VALUE"""),19)</f>
        <v>19</v>
      </c>
      <c r="X83" s="14" t="str">
        <f ca="1">IFERROR(__xludf.DUMMYFUNCTION("""COMPUTED_VALUE"""),"6690, 6740, 6818")</f>
        <v>6690, 6740, 6818</v>
      </c>
      <c r="Y83" s="14" t="str">
        <f ca="1">IFERROR(__xludf.DUMMYFUNCTION("""COMPUTED_VALUE"""),"ja")</f>
        <v>ja</v>
      </c>
      <c r="Z83" s="14" t="str">
        <f ca="1">IFERROR(__xludf.DUMMYFUNCTION("""COMPUTED_VALUE"""),"CK kontakt")</f>
        <v>CK kontakt</v>
      </c>
      <c r="AA83" s="14"/>
      <c r="AB83" s="14"/>
      <c r="AC83" s="14"/>
    </row>
    <row r="84" spans="1:29" ht="12.5" x14ac:dyDescent="0.25">
      <c r="A84" s="14" t="str">
        <f ca="1">IFERROR(__xludf.DUMMYFUNCTION("""COMPUTED_VALUE"""),"Camilla")</f>
        <v>Camilla</v>
      </c>
      <c r="B84" s="14" t="str">
        <f ca="1">IFERROR(__xludf.DUMMYFUNCTION("""COMPUTED_VALUE"""),"home Brejning")</f>
        <v>home Brejning</v>
      </c>
      <c r="C84" s="15">
        <f ca="1">IFERROR(__xludf.DUMMYFUNCTION("""COMPUTED_VALUE"""),19688690)</f>
        <v>19688690</v>
      </c>
      <c r="D84" s="14" t="str">
        <f ca="1">IFERROR(__xludf.DUMMYFUNCTION("""COMPUTED_VALUE"""),"MG-JY: 2.499,-")</f>
        <v>MG-JY: 2.499,-</v>
      </c>
      <c r="E84" s="14">
        <f ca="1">IFERROR(__xludf.DUMMYFUNCTION("""COMPUTED_VALUE"""),1201)</f>
        <v>1201</v>
      </c>
      <c r="F84" s="14" t="str">
        <f ca="1">IFERROR(__xludf.DUMMYFUNCTION("""COMPUTED_VALUE"""),"Jonna Harbo")</f>
        <v>Jonna Harbo</v>
      </c>
      <c r="G84" s="14" t="str">
        <f ca="1">IFERROR(__xludf.DUMMYFUNCTION("""COMPUTED_VALUE"""),"joha@home.dk")</f>
        <v>joha@home.dk</v>
      </c>
      <c r="H84" s="14">
        <f ca="1">IFERROR(__xludf.DUMMYFUNCTION("""COMPUTED_VALUE"""),21299213)</f>
        <v>21299213</v>
      </c>
      <c r="I84" s="14" t="str">
        <f ca="1">IFERROR(__xludf.DUMMYFUNCTION("""COMPUTED_VALUE"""),"Brejning Søndergade 7")</f>
        <v>Brejning Søndergade 7</v>
      </c>
      <c r="J84" s="14">
        <f ca="1">IFERROR(__xludf.DUMMYFUNCTION("""COMPUTED_VALUE"""),7080)</f>
        <v>7080</v>
      </c>
      <c r="K84" s="14" t="str">
        <f ca="1">IFERROR(__xludf.DUMMYFUNCTION("""COMPUTED_VALUE"""),"Børkop")</f>
        <v>Børkop</v>
      </c>
      <c r="L84" s="14" t="str">
        <f ca="1">IFERROR(__xludf.DUMMYFUNCTION("""COMPUTED_VALUE"""),"Vejle")</f>
        <v>Vejle</v>
      </c>
      <c r="M84" s="14" t="str">
        <f ca="1">IFERROR(__xludf.DUMMYFUNCTION("""COMPUTED_VALUE"""),"Sydjylland")</f>
        <v>Sydjylland</v>
      </c>
      <c r="N84" s="14" t="str">
        <f ca="1">IFERROR(__xludf.DUMMYFUNCTION("""COMPUTED_VALUE"""),"Syddanmark")</f>
        <v>Syddanmark</v>
      </c>
      <c r="O84" s="14" t="str">
        <f ca="1">IFERROR(__xludf.DUMMYFUNCTION("""COMPUTED_VALUE"""),"75 86 88 00")</f>
        <v>75 86 88 00</v>
      </c>
      <c r="P84" s="14" t="str">
        <f ca="1">IFERROR(__xludf.DUMMYFUNCTION("""COMPUTED_VALUE"""),"604@home.dk")</f>
        <v>604@home.dk</v>
      </c>
      <c r="Q84" s="15" t="str">
        <f ca="1">IFERROR(__xludf.DUMMYFUNCTION("""COMPUTED_VALUE"""),"https://www.boliga.dk/maegler/95")</f>
        <v>https://www.boliga.dk/maegler/95</v>
      </c>
      <c r="R84" s="14" t="str">
        <f ca="1">IFERROR(__xludf.DUMMYFUNCTION("""COMPUTED_VALUE"""),"-")</f>
        <v>-</v>
      </c>
      <c r="S84" s="14" t="str">
        <f ca="1">IFERROR(__xludf.DUMMYFUNCTION("""COMPUTED_VALUE"""),"-")</f>
        <v>-</v>
      </c>
      <c r="T84" s="14" t="str">
        <f ca="1">IFERROR(__xludf.DUMMYFUNCTION("""COMPUTED_VALUE"""),"-")</f>
        <v>-</v>
      </c>
      <c r="U84" s="14">
        <f ca="1">IFERROR(__xludf.DUMMYFUNCTION("""COMPUTED_VALUE"""),49)</f>
        <v>49</v>
      </c>
      <c r="V84" s="14" t="str">
        <f ca="1">IFERROR(__xludf.DUMMYFUNCTION("""COMPUTED_VALUE"""),"7080, 7000, 7323")</f>
        <v>7080, 7000, 7323</v>
      </c>
      <c r="W84" s="14">
        <f ca="1">IFERROR(__xludf.DUMMYFUNCTION("""COMPUTED_VALUE"""),26)</f>
        <v>26</v>
      </c>
      <c r="X84" s="14" t="str">
        <f ca="1">IFERROR(__xludf.DUMMYFUNCTION("""COMPUTED_VALUE"""),"5500, 7080, 7000")</f>
        <v>5500, 7080, 7000</v>
      </c>
      <c r="Y84" s="14" t="str">
        <f ca="1">IFERROR(__xludf.DUMMYFUNCTION("""COMPUTED_VALUE"""),"ja")</f>
        <v>ja</v>
      </c>
      <c r="Z84" s="14"/>
      <c r="AA84" s="14"/>
      <c r="AB84" s="14" t="str">
        <f ca="1">IFERROR(__xludf.DUMMYFUNCTION("""COMPUTED_VALUE"""),"x")</f>
        <v>x</v>
      </c>
      <c r="AC84" s="14" t="str">
        <f ca="1">IFERROR(__xludf.DUMMYFUNCTION("""COMPUTED_VALUE"""),"x")</f>
        <v>x</v>
      </c>
    </row>
    <row r="85" spans="1:29" ht="12.5" x14ac:dyDescent="0.25">
      <c r="A85" s="14" t="str">
        <f ca="1">IFERROR(__xludf.DUMMYFUNCTION("""COMPUTED_VALUE"""),"Camilla")</f>
        <v>Camilla</v>
      </c>
      <c r="B85" s="14" t="str">
        <f ca="1">IFERROR(__xludf.DUMMYFUNCTION("""COMPUTED_VALUE"""),"home Ribe")</f>
        <v>home Ribe</v>
      </c>
      <c r="C85" s="14"/>
      <c r="D85" s="14"/>
      <c r="E85" s="14" t="str">
        <f ca="1">IFERROR(__xludf.DUMMYFUNCTION("""COMPUTED_VALUE"""),"N/A")</f>
        <v>N/A</v>
      </c>
      <c r="F85" s="14" t="str">
        <f ca="1">IFERROR(__xludf.DUMMYFUNCTION("""COMPUTED_VALUE"""),"CK")</f>
        <v>CK</v>
      </c>
      <c r="G85" s="14"/>
      <c r="H85" s="14"/>
      <c r="I85" s="14" t="str">
        <f ca="1">IFERROR(__xludf.DUMMYFUNCTION("""COMPUTED_VALUE"""),"J. Lauritzens Plads 4")</f>
        <v>J. Lauritzens Plads 4</v>
      </c>
      <c r="J85" s="14">
        <f ca="1">IFERROR(__xludf.DUMMYFUNCTION("""COMPUTED_VALUE"""),6760)</f>
        <v>6760</v>
      </c>
      <c r="K85" s="14" t="str">
        <f ca="1">IFERROR(__xludf.DUMMYFUNCTION("""COMPUTED_VALUE"""),"Ribe")</f>
        <v>Ribe</v>
      </c>
      <c r="L85" s="14" t="str">
        <f ca="1">IFERROR(__xludf.DUMMYFUNCTION("""COMPUTED_VALUE"""),"Esbjerg")</f>
        <v>Esbjerg</v>
      </c>
      <c r="M85" s="14" t="str">
        <f ca="1">IFERROR(__xludf.DUMMYFUNCTION("""COMPUTED_VALUE"""),"Sydjylland")</f>
        <v>Sydjylland</v>
      </c>
      <c r="N85" s="14" t="str">
        <f ca="1">IFERROR(__xludf.DUMMYFUNCTION("""COMPUTED_VALUE"""),"Syddanmark")</f>
        <v>Syddanmark</v>
      </c>
      <c r="O85" s="14">
        <f ca="1">IFERROR(__xludf.DUMMYFUNCTION("""COMPUTED_VALUE"""),75424800)</f>
        <v>75424800</v>
      </c>
      <c r="P85" s="14" t="str">
        <f ca="1">IFERROR(__xludf.DUMMYFUNCTION("""COMPUTED_VALUE"""),"712@home.dk")</f>
        <v>712@home.dk</v>
      </c>
      <c r="Q85" s="15" t="str">
        <f ca="1">IFERROR(__xludf.DUMMYFUNCTION("""COMPUTED_VALUE"""),"https://www.boliga.dk/maegler/435")</f>
        <v>https://www.boliga.dk/maegler/435</v>
      </c>
      <c r="R85" s="14" t="str">
        <f ca="1">IFERROR(__xludf.DUMMYFUNCTION("""COMPUTED_VALUE"""),"-")</f>
        <v>-</v>
      </c>
      <c r="S85" s="14" t="str">
        <f ca="1">IFERROR(__xludf.DUMMYFUNCTION("""COMPUTED_VALUE"""),"-")</f>
        <v>-</v>
      </c>
      <c r="T85" s="14" t="str">
        <f ca="1">IFERROR(__xludf.DUMMYFUNCTION("""COMPUTED_VALUE"""),"-")</f>
        <v>-</v>
      </c>
      <c r="U85" s="14">
        <f ca="1">IFERROR(__xludf.DUMMYFUNCTION("""COMPUTED_VALUE"""),25)</f>
        <v>25</v>
      </c>
      <c r="V85" s="14" t="str">
        <f ca="1">IFERROR(__xludf.DUMMYFUNCTION("""COMPUTED_VALUE"""),"6683, 6760, 6510, 6771, 6780, 6792")</f>
        <v>6683, 6760, 6510, 6771, 6780, 6792</v>
      </c>
      <c r="W85" s="14">
        <f ca="1">IFERROR(__xludf.DUMMYFUNCTION("""COMPUTED_VALUE"""),17)</f>
        <v>17</v>
      </c>
      <c r="X85" s="14" t="str">
        <f ca="1">IFERROR(__xludf.DUMMYFUNCTION("""COMPUTED_VALUE"""),"6760, 6780, 6771")</f>
        <v>6760, 6780, 6771</v>
      </c>
      <c r="Y85" s="14" t="str">
        <f ca="1">IFERROR(__xludf.DUMMYFUNCTION("""COMPUTED_VALUE"""),"ja")</f>
        <v>ja</v>
      </c>
      <c r="Z85" s="14" t="str">
        <f ca="1">IFERROR(__xludf.DUMMYFUNCTION("""COMPUTED_VALUE"""),"CR kontakt")</f>
        <v>CR kontakt</v>
      </c>
      <c r="AA85" s="14"/>
      <c r="AB85" s="14"/>
      <c r="AC85" s="14"/>
    </row>
    <row r="86" spans="1:29" ht="12.5" x14ac:dyDescent="0.25">
      <c r="A86" s="14" t="str">
        <f ca="1">IFERROR(__xludf.DUMMYFUNCTION("""COMPUTED_VALUE"""),"Camilla")</f>
        <v>Camilla</v>
      </c>
      <c r="B86" s="14" t="str">
        <f ca="1">IFERROR(__xludf.DUMMYFUNCTION("""COMPUTED_VALUE"""),"home Varde")</f>
        <v>home Varde</v>
      </c>
      <c r="C86" s="14"/>
      <c r="D86" s="14"/>
      <c r="E86" s="14" t="str">
        <f ca="1">IFERROR(__xludf.DUMMYFUNCTION("""COMPUTED_VALUE"""),"N/A")</f>
        <v>N/A</v>
      </c>
      <c r="F86" s="14" t="str">
        <f ca="1">IFERROR(__xludf.DUMMYFUNCTION("""COMPUTED_VALUE"""),"CK")</f>
        <v>CK</v>
      </c>
      <c r="G86" s="14"/>
      <c r="H86" s="14"/>
      <c r="I86" s="14" t="str">
        <f ca="1">IFERROR(__xludf.DUMMYFUNCTION("""COMPUTED_VALUE"""),"Murtfeldts Plads 7")</f>
        <v>Murtfeldts Plads 7</v>
      </c>
      <c r="J86" s="14">
        <f ca="1">IFERROR(__xludf.DUMMYFUNCTION("""COMPUTED_VALUE"""),6800)</f>
        <v>6800</v>
      </c>
      <c r="K86" s="14" t="str">
        <f ca="1">IFERROR(__xludf.DUMMYFUNCTION("""COMPUTED_VALUE"""),"Varde")</f>
        <v>Varde</v>
      </c>
      <c r="L86" s="14" t="str">
        <f ca="1">IFERROR(__xludf.DUMMYFUNCTION("""COMPUTED_VALUE"""),"Varde")</f>
        <v>Varde</v>
      </c>
      <c r="M86" s="14" t="str">
        <f ca="1">IFERROR(__xludf.DUMMYFUNCTION("""COMPUTED_VALUE"""),"Sydjylland")</f>
        <v>Sydjylland</v>
      </c>
      <c r="N86" s="14" t="str">
        <f ca="1">IFERROR(__xludf.DUMMYFUNCTION("""COMPUTED_VALUE"""),"Syddanmark")</f>
        <v>Syddanmark</v>
      </c>
      <c r="O86" s="14">
        <f ca="1">IFERROR(__xludf.DUMMYFUNCTION("""COMPUTED_VALUE"""),76888622)</f>
        <v>76888622</v>
      </c>
      <c r="P86" s="14" t="str">
        <f ca="1">IFERROR(__xludf.DUMMYFUNCTION("""COMPUTED_VALUE"""),"726@home.dk")</f>
        <v>726@home.dk</v>
      </c>
      <c r="Q86" s="15" t="str">
        <f ca="1">IFERROR(__xludf.DUMMYFUNCTION("""COMPUTED_VALUE"""),"https://www.boliga.dk/maegler/952")</f>
        <v>https://www.boliga.dk/maegler/952</v>
      </c>
      <c r="R86" s="14" t="str">
        <f ca="1">IFERROR(__xludf.DUMMYFUNCTION("""COMPUTED_VALUE"""),"-")</f>
        <v>-</v>
      </c>
      <c r="S86" s="14" t="str">
        <f ca="1">IFERROR(__xludf.DUMMYFUNCTION("""COMPUTED_VALUE"""),"-")</f>
        <v>-</v>
      </c>
      <c r="T86" s="14" t="str">
        <f ca="1">IFERROR(__xludf.DUMMYFUNCTION("""COMPUTED_VALUE"""),"-")</f>
        <v>-</v>
      </c>
      <c r="U86" s="14">
        <f ca="1">IFERROR(__xludf.DUMMYFUNCTION("""COMPUTED_VALUE"""),39)</f>
        <v>39</v>
      </c>
      <c r="V86" s="14" t="str">
        <f ca="1">IFERROR(__xludf.DUMMYFUNCTION("""COMPUTED_VALUE"""),"6870, 6818, 6800, 6753, 6823, 6851, 6862")</f>
        <v>6870, 6818, 6800, 6753, 6823, 6851, 6862</v>
      </c>
      <c r="W86" s="14">
        <f ca="1">IFERROR(__xludf.DUMMYFUNCTION("""COMPUTED_VALUE"""),18)</f>
        <v>18</v>
      </c>
      <c r="X86" s="14" t="str">
        <f ca="1">IFERROR(__xludf.DUMMYFUNCTION("""COMPUTED_VALUE"""),"6870, 6851, 6800, 6818, 6823, 6862")</f>
        <v>6870, 6851, 6800, 6818, 6823, 6862</v>
      </c>
      <c r="Y86" s="14" t="str">
        <f ca="1">IFERROR(__xludf.DUMMYFUNCTION("""COMPUTED_VALUE"""),"ja")</f>
        <v>ja</v>
      </c>
      <c r="Z86" s="14" t="str">
        <f ca="1">IFERROR(__xludf.DUMMYFUNCTION("""COMPUTED_VALUE"""),"CR kontakt")</f>
        <v>CR kontakt</v>
      </c>
      <c r="AA86" s="14"/>
      <c r="AB86" s="14"/>
      <c r="AC86" s="14"/>
    </row>
  </sheetData>
  <hyperlinks>
    <hyperlink ref="C2" r:id="rId1" display="https://home.dk/kastrupvej" xr:uid="{00000000-0004-0000-0B00-000000000000}"/>
    <hyperlink ref="Q2" r:id="rId2" display="https://www.boliga.dk/maegler/424" xr:uid="{00000000-0004-0000-0B00-000001000000}"/>
    <hyperlink ref="C3" r:id="rId3" display="https://home.dk/sundby" xr:uid="{00000000-0004-0000-0B00-000002000000}"/>
    <hyperlink ref="G3" r:id="rId4" display="mailto:siraa@home.dk" xr:uid="{00000000-0004-0000-0B00-000003000000}"/>
    <hyperlink ref="Q3" r:id="rId5" display="https://www.boliga.dk/maegler/415" xr:uid="{00000000-0004-0000-0B00-000004000000}"/>
    <hyperlink ref="C4" r:id="rId6" display="https://home.dk/amagerbro" xr:uid="{00000000-0004-0000-0B00-000005000000}"/>
    <hyperlink ref="Q4" r:id="rId7" display="https://www.boliga.dk/maegler/918" xr:uid="{00000000-0004-0000-0B00-000006000000}"/>
    <hyperlink ref="Q5" r:id="rId8" display="https://www.boliga.dk/maegler/218" xr:uid="{00000000-0004-0000-0B00-000007000000}"/>
    <hyperlink ref="Q6" r:id="rId9" display="https://www.boliga.dk/maegler/610" xr:uid="{00000000-0004-0000-0B00-000008000000}"/>
    <hyperlink ref="Q7" r:id="rId10" display="https://www.boliga.dk/maegler/863" xr:uid="{00000000-0004-0000-0B00-000009000000}"/>
    <hyperlink ref="Q8" r:id="rId11" display="https://www.boliga.dk/maegler/777" xr:uid="{00000000-0004-0000-0B00-00000A000000}"/>
    <hyperlink ref="Q9" r:id="rId12" display="https://www.boliga.dk/maegler/18032" xr:uid="{00000000-0004-0000-0B00-00000B000000}"/>
    <hyperlink ref="Q10" r:id="rId13" display="https://www.boliga.dk/maegler/22754" xr:uid="{00000000-0004-0000-0B00-00000C000000}"/>
    <hyperlink ref="Q11" r:id="rId14" display="https://www.boliga.dk/maegler/18811" xr:uid="{00000000-0004-0000-0B00-00000D000000}"/>
    <hyperlink ref="C12" r:id="rId15" display="https://home.dk/sundbyvester" xr:uid="{00000000-0004-0000-0B00-00000E000000}"/>
    <hyperlink ref="Q12" r:id="rId16" display="https://www.boliga.dk/maegler/465" xr:uid="{00000000-0004-0000-0B00-00000F000000}"/>
    <hyperlink ref="Q13" r:id="rId17" display="https://www.boliga.dk/maegler/875" xr:uid="{00000000-0004-0000-0B00-000010000000}"/>
    <hyperlink ref="Q14" r:id="rId18" display="https://www.boliga.dk/maegler/542" xr:uid="{00000000-0004-0000-0B00-000011000000}"/>
    <hyperlink ref="Q15" r:id="rId19" display="https://www.boliga.dk/maegler/999" xr:uid="{00000000-0004-0000-0B00-000012000000}"/>
    <hyperlink ref="Q16" r:id="rId20" display="https://www.boliga.dk/maegler/862" xr:uid="{00000000-0004-0000-0B00-000013000000}"/>
    <hyperlink ref="C17" r:id="rId21" display="https://home.dk/taastrup" xr:uid="{00000000-0004-0000-0B00-000014000000}"/>
    <hyperlink ref="Q17" r:id="rId22" display="https://www.boliga.dk/maegler/24832" xr:uid="{00000000-0004-0000-0B00-000015000000}"/>
    <hyperlink ref="C18" r:id="rId23" display="https://home.dk/hellerup" xr:uid="{00000000-0004-0000-0B00-000016000000}"/>
    <hyperlink ref="Q18" r:id="rId24" display="https://www.boliga.dk/maegler/742" xr:uid="{00000000-0004-0000-0B00-000017000000}"/>
    <hyperlink ref="Q19" r:id="rId25" display="https://www.boliga.dk/maegler/1033" xr:uid="{00000000-0004-0000-0B00-000018000000}"/>
    <hyperlink ref="Q20" r:id="rId26" display="https://www.boliga.dk/maegler/33" xr:uid="{00000000-0004-0000-0B00-000019000000}"/>
    <hyperlink ref="Q21" r:id="rId27" display="https://www.boliga.dk/maegler/31" xr:uid="{00000000-0004-0000-0B00-00001A000000}"/>
    <hyperlink ref="C22" r:id="rId28" display="https://home.dk/taastrup" xr:uid="{00000000-0004-0000-0B00-00001B000000}"/>
    <hyperlink ref="Q22" r:id="rId29" display="https://www.boliga.dk/maegler/599" xr:uid="{00000000-0004-0000-0B00-00001C000000}"/>
    <hyperlink ref="Q23" r:id="rId30" display="https://www.boliga.dk/maegler/21" xr:uid="{00000000-0004-0000-0B00-00001D000000}"/>
    <hyperlink ref="C24" r:id="rId31" display="https://home.dk/hoersholm" xr:uid="{00000000-0004-0000-0B00-00001E000000}"/>
    <hyperlink ref="Q24" r:id="rId32" display="https://www.boliga.dk/maegler/151" xr:uid="{00000000-0004-0000-0B00-00001F000000}"/>
    <hyperlink ref="C25" r:id="rId33" display="https://home.dk/hoersholm" xr:uid="{00000000-0004-0000-0B00-000020000000}"/>
    <hyperlink ref="Q25" r:id="rId34" display="https://www.boliga.dk/maegler/25516" xr:uid="{00000000-0004-0000-0B00-000021000000}"/>
    <hyperlink ref="C26" r:id="rId35" display="https://home.dk/frederiksvaerk" xr:uid="{00000000-0004-0000-0B00-000022000000}"/>
    <hyperlink ref="Q26" r:id="rId36" display="https://www.boliga.dk/maegler/462" xr:uid="{00000000-0004-0000-0B00-000023000000}"/>
    <hyperlink ref="C27" r:id="rId37" display="https://home.dk/frederiksvaerk" xr:uid="{00000000-0004-0000-0B00-000024000000}"/>
    <hyperlink ref="Q27" r:id="rId38" display="https://www.boliga.dk/maegler/175" xr:uid="{00000000-0004-0000-0B00-000025000000}"/>
    <hyperlink ref="C28" r:id="rId39" display="https://home.dk/hoersholm" xr:uid="{00000000-0004-0000-0B00-000026000000}"/>
    <hyperlink ref="Q28" r:id="rId40" display="https://www.boliga.dk/maegler/1085" xr:uid="{00000000-0004-0000-0B00-000027000000}"/>
    <hyperlink ref="Q29" r:id="rId41" display="https://www.boliga.dk/maegler/145" xr:uid="{00000000-0004-0000-0B00-000028000000}"/>
    <hyperlink ref="Q30" r:id="rId42" display="https://www.boliga.dk/maegler/902" xr:uid="{00000000-0004-0000-0B00-000029000000}"/>
    <hyperlink ref="Q31" r:id="rId43" display="https://www.boliga.dk/maegler/18600" xr:uid="{00000000-0004-0000-0B00-00002A000000}"/>
    <hyperlink ref="Q32" r:id="rId44" display="https://www.boliga.dk/maegler/344" xr:uid="{00000000-0004-0000-0B00-00002B000000}"/>
    <hyperlink ref="Q33" r:id="rId45" display="https://www.boliga.dk/maegler/147" xr:uid="{00000000-0004-0000-0B00-00002C000000}"/>
    <hyperlink ref="C34" r:id="rId46" display="https://home.dk/frederiksvaerk" xr:uid="{00000000-0004-0000-0B00-00002D000000}"/>
    <hyperlink ref="Q34" r:id="rId47" display="https://www.boliga.dk/maegler/24638" xr:uid="{00000000-0004-0000-0B00-00002E000000}"/>
    <hyperlink ref="C35" r:id="rId48" display="https://home.dk/hoersholm" xr:uid="{00000000-0004-0000-0B00-00002F000000}"/>
    <hyperlink ref="Q35" r:id="rId49" display="https://www.boliga.dk/maegler/213" xr:uid="{00000000-0004-0000-0B00-000030000000}"/>
    <hyperlink ref="C36" r:id="rId50" display="https://home.dk/frederiksvaerk" xr:uid="{00000000-0004-0000-0B00-000031000000}"/>
    <hyperlink ref="Q36" r:id="rId51" display="https://www.boliga.dk/maegler/961" xr:uid="{00000000-0004-0000-0B00-000032000000}"/>
    <hyperlink ref="C37" r:id="rId52" display="https://home.dk/nivaa" xr:uid="{00000000-0004-0000-0B00-000033000000}"/>
    <hyperlink ref="Q37" r:id="rId53" display="https://www.boliga.dk/maegler/836" xr:uid="{00000000-0004-0000-0B00-000034000000}"/>
    <hyperlink ref="Q38" r:id="rId54" display="https://www.boliga.dk/maegler/25464" xr:uid="{00000000-0004-0000-0B00-000035000000}"/>
    <hyperlink ref="Q39" r:id="rId55" display="https://www.boliga.dk/maegler/58" xr:uid="{00000000-0004-0000-0B00-000036000000}"/>
    <hyperlink ref="Q40" r:id="rId56" display="https://www.boliga.dk/maegler/25597" xr:uid="{00000000-0004-0000-0B00-000037000000}"/>
    <hyperlink ref="Q41" r:id="rId57" display="https://www.boliga.dk/maegler/27755" xr:uid="{00000000-0004-0000-0B00-000038000000}"/>
    <hyperlink ref="C42" r:id="rId58" display="https://home.dk/ebeltoft" xr:uid="{00000000-0004-0000-0B00-000039000000}"/>
    <hyperlink ref="Q42" r:id="rId59" display="https://www.boliga.dk/maegler/546" xr:uid="{00000000-0004-0000-0B00-00003A000000}"/>
    <hyperlink ref="C43" r:id="rId60" display="https://home.dk/galten" xr:uid="{00000000-0004-0000-0B00-00003B000000}"/>
    <hyperlink ref="Q43" r:id="rId61" display="https://www.boliga.dk/maegler/969" xr:uid="{00000000-0004-0000-0B00-00003C000000}"/>
    <hyperlink ref="Q44" r:id="rId62" display="https://www.boliga.dk/maegler/43" xr:uid="{00000000-0004-0000-0B00-00003D000000}"/>
    <hyperlink ref="Q45" r:id="rId63" display="https://www.boliga.dk/maegler/756" xr:uid="{00000000-0004-0000-0B00-00003E000000}"/>
    <hyperlink ref="Q46" r:id="rId64" display="https://www.boliga.dk/maegler/140" xr:uid="{00000000-0004-0000-0B00-00003F000000}"/>
    <hyperlink ref="C47" r:id="rId65" display="https://home.dk/hoejbjerg" xr:uid="{00000000-0004-0000-0B00-000040000000}"/>
    <hyperlink ref="Q47" r:id="rId66" display="https://www.boliga.dk/maegler/587" xr:uid="{00000000-0004-0000-0B00-000041000000}"/>
    <hyperlink ref="Q48" r:id="rId67" display="https://www.boliga.dk/maegler/25385" xr:uid="{00000000-0004-0000-0B00-000042000000}"/>
    <hyperlink ref="Q49" r:id="rId68" display="https://www.boliga.dk/maegler/256" xr:uid="{00000000-0004-0000-0B00-000043000000}"/>
    <hyperlink ref="Q50" r:id="rId69" display="https://www.boliga.dk/maegler/879" xr:uid="{00000000-0004-0000-0B00-000044000000}"/>
    <hyperlink ref="Q51" r:id="rId70" display="https://www.boliga.dk/maegler/25493" xr:uid="{00000000-0004-0000-0B00-000045000000}"/>
    <hyperlink ref="Q52" r:id="rId71" display="https://www.boliga.dk/maegler/26439" xr:uid="{00000000-0004-0000-0B00-000046000000}"/>
    <hyperlink ref="C53" r:id="rId72" display="https://home.dk/silkeborg" xr:uid="{00000000-0004-0000-0B00-000047000000}"/>
    <hyperlink ref="Q53" r:id="rId73" display="https://www.boliga.dk/maegler/666" xr:uid="{00000000-0004-0000-0B00-000048000000}"/>
    <hyperlink ref="Q54" r:id="rId74" display="https://www.boliga.dk/maegler/19703" xr:uid="{00000000-0004-0000-0B00-000049000000}"/>
    <hyperlink ref="C55" r:id="rId75" display="https://home.dk/hoejbjerg" xr:uid="{00000000-0004-0000-0B00-00004A000000}"/>
    <hyperlink ref="Q55" r:id="rId76" display="https://www.boliga.dk/maegler/229" xr:uid="{00000000-0004-0000-0B00-00004B000000}"/>
    <hyperlink ref="C56" r:id="rId77" display="https://home.dk/hoejbjerg" xr:uid="{00000000-0004-0000-0B00-00004C000000}"/>
    <hyperlink ref="Q56" r:id="rId78" display="https://www.boliga.dk/maegler/996" xr:uid="{00000000-0004-0000-0B00-00004D000000}"/>
    <hyperlink ref="Q57" r:id="rId79" display="https://www.boliga.dk/maegler/934" xr:uid="{00000000-0004-0000-0B00-00004E000000}"/>
    <hyperlink ref="C58" r:id="rId80" display="https://home.dk/broenderslev" xr:uid="{00000000-0004-0000-0B00-00004F000000}"/>
    <hyperlink ref="Q58" r:id="rId81" display="https://www.boliga.dk/maegler/964" xr:uid="{00000000-0004-0000-0B00-000050000000}"/>
    <hyperlink ref="Q59" r:id="rId82" display="https://www.boliga.dk/maegler/711" xr:uid="{00000000-0004-0000-0B00-000051000000}"/>
    <hyperlink ref="Q60" r:id="rId83" display="https://www.boliga.dk/maegler/1000" xr:uid="{00000000-0004-0000-0B00-000052000000}"/>
    <hyperlink ref="Q61" r:id="rId84" display="https://www.boliga.dk/maegler/29122" xr:uid="{00000000-0004-0000-0B00-000053000000}"/>
    <hyperlink ref="C62" r:id="rId85" display="https://home.dk/hobro" xr:uid="{00000000-0004-0000-0B00-000054000000}"/>
    <hyperlink ref="Q62" r:id="rId86" display="https://www.boliga.dk/maegler/640" xr:uid="{00000000-0004-0000-0B00-000055000000}"/>
    <hyperlink ref="C63" r:id="rId87" display="https://home.dk/stoevring" xr:uid="{00000000-0004-0000-0B00-000056000000}"/>
    <hyperlink ref="Q63" r:id="rId88" display="https://www.boliga.dk/maegler/25494" xr:uid="{00000000-0004-0000-0B00-000057000000}"/>
    <hyperlink ref="C64" r:id="rId89" display="https://home.dk/thisted" xr:uid="{00000000-0004-0000-0B00-000058000000}"/>
    <hyperlink ref="Q64" r:id="rId90" display="https://www.boliga.dk/maegler/1" xr:uid="{00000000-0004-0000-0B00-000059000000}"/>
    <hyperlink ref="Q65" r:id="rId91" display="https://www.boliga.dk/maegler/1050" xr:uid="{00000000-0004-0000-0B00-00005A000000}"/>
    <hyperlink ref="Q66" r:id="rId92" display="https://www.boliga.dk/maegler/526" xr:uid="{00000000-0004-0000-0B00-00005B000000}"/>
    <hyperlink ref="C67" r:id="rId93" display="https://home.dk/koege" xr:uid="{00000000-0004-0000-0B00-00005C000000}"/>
    <hyperlink ref="Q67" r:id="rId94" display="https://www.boliga.dk/maegler/294" xr:uid="{00000000-0004-0000-0B00-00005D000000}"/>
    <hyperlink ref="Q68" r:id="rId95" display="https://www.boliga.dk/maegler/580" xr:uid="{00000000-0004-0000-0B00-00005E000000}"/>
    <hyperlink ref="Q69" r:id="rId96" display="https://www.boliga.dk/maegler/199" xr:uid="{00000000-0004-0000-0B00-00005F000000}"/>
    <hyperlink ref="C70" r:id="rId97" display="https://home.dk/naestvedcity" xr:uid="{00000000-0004-0000-0B00-000060000000}"/>
    <hyperlink ref="Q70" r:id="rId98" display="https://www.boliga.dk/maegler/26176" xr:uid="{00000000-0004-0000-0B00-000061000000}"/>
    <hyperlink ref="Q71" r:id="rId99" display="https://www.boliga.dk/maegler/578" xr:uid="{00000000-0004-0000-0B00-000062000000}"/>
    <hyperlink ref="Q72" r:id="rId100" display="https://www.boliga.dk/maegler/274" xr:uid="{00000000-0004-0000-0B00-000063000000}"/>
    <hyperlink ref="Q73" r:id="rId101" display="https://www.boliga.dk/maegler/1012" xr:uid="{00000000-0004-0000-0B00-000064000000}"/>
    <hyperlink ref="C74" r:id="rId102" display="https://home.dk/faaborgvej" xr:uid="{00000000-0004-0000-0B00-000065000000}"/>
    <hyperlink ref="Q74" r:id="rId103" display="https://www.boliga.dk/maegler/838" xr:uid="{00000000-0004-0000-0B00-000066000000}"/>
    <hyperlink ref="Q75" r:id="rId104" display="https://www.boliga.dk/maegler/474" xr:uid="{00000000-0004-0000-0B00-000067000000}"/>
    <hyperlink ref="Q76" r:id="rId105" display="https://www.boliga.dk/maegler/372" xr:uid="{00000000-0004-0000-0B00-000068000000}"/>
    <hyperlink ref="Q77" r:id="rId106" display="https://www.boliga.dk/maegler/574" xr:uid="{00000000-0004-0000-0B00-000069000000}"/>
    <hyperlink ref="Q78" r:id="rId107" display="https://www.boliga.dk/maegler/939" xr:uid="{00000000-0004-0000-0B00-00006A000000}"/>
    <hyperlink ref="Q79" r:id="rId108" display="https://www.boliga.dk/maegler/18601" xr:uid="{00000000-0004-0000-0B00-00006B000000}"/>
    <hyperlink ref="C80" r:id="rId109" display="https://home.dk/skibhusvej" xr:uid="{00000000-0004-0000-0B00-00006C000000}"/>
    <hyperlink ref="Q80" r:id="rId110" display="https://www.boliga.dk/maegler/908" xr:uid="{00000000-0004-0000-0B00-00006D000000}"/>
    <hyperlink ref="C81" r:id="rId111" display="https://home.dk/svendborg" xr:uid="{00000000-0004-0000-0B00-00006E000000}"/>
    <hyperlink ref="Q81" r:id="rId112" display="https://www.boliga.dk/maegler/679" xr:uid="{00000000-0004-0000-0B00-00006F000000}"/>
    <hyperlink ref="Q82" r:id="rId113" display="https://www.boliga.dk/maegler/287" xr:uid="{00000000-0004-0000-0B00-000070000000}"/>
    <hyperlink ref="Q83" r:id="rId114" display="https://www.boliga.dk/maegler/704" xr:uid="{00000000-0004-0000-0B00-000071000000}"/>
    <hyperlink ref="C84" r:id="rId115" display="https://home.dk/brejning" xr:uid="{00000000-0004-0000-0B00-000072000000}"/>
    <hyperlink ref="Q84" r:id="rId116" display="https://www.boliga.dk/maegler/95" xr:uid="{00000000-0004-0000-0B00-000073000000}"/>
    <hyperlink ref="Q85" r:id="rId117" display="https://www.boliga.dk/maegler/435" xr:uid="{00000000-0004-0000-0B00-000074000000}"/>
    <hyperlink ref="Q86" r:id="rId118" display="https://www.boliga.dk/maegler/952" xr:uid="{00000000-0004-0000-0B00-000075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D45"/>
  <sheetViews>
    <sheetView workbookViewId="0">
      <selection sqref="A1:XFD1"/>
    </sheetView>
  </sheetViews>
  <sheetFormatPr defaultColWidth="12.6328125" defaultRowHeight="15.75" customHeight="1" x14ac:dyDescent="0.25"/>
  <cols>
    <col min="2" max="2" width="29.7265625" customWidth="1"/>
    <col min="5" max="5" width="19.7265625" customWidth="1"/>
  </cols>
  <sheetData>
    <row r="1" spans="1:30" ht="15.75" customHeight="1" x14ac:dyDescent="0.35">
      <c r="A1" s="1" t="s">
        <v>0</v>
      </c>
      <c r="B1" s="2" t="s">
        <v>1</v>
      </c>
      <c r="C1" s="10" t="s">
        <v>2</v>
      </c>
      <c r="D1" s="9" t="s">
        <v>3</v>
      </c>
      <c r="E1" s="10" t="s">
        <v>4</v>
      </c>
      <c r="F1" s="2" t="s">
        <v>5</v>
      </c>
      <c r="G1" s="11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7" t="s">
        <v>28</v>
      </c>
      <c r="AD1" s="8"/>
    </row>
    <row r="2" spans="1:30" ht="15.75" customHeight="1" x14ac:dyDescent="0.55000000000000004">
      <c r="A2" s="13" t="str">
        <f ca="1">IFERROR(__xludf.DUMMYFUNCTION("FILTER(Lokalbolig!A2:AC50,Lokalbolig!Y2:Y50=""Ja"")"),"Camilla")</f>
        <v>Camilla</v>
      </c>
      <c r="B2" s="14" t="str">
        <f ca="1">IFERROR(__xludf.DUMMYFUNCTION("""COMPUTED_VALUE"""),"LokalBolig Amager ApS")</f>
        <v>LokalBolig Amager ApS</v>
      </c>
      <c r="C2" s="14">
        <f ca="1">IFERROR(__xludf.DUMMYFUNCTION("""COMPUTED_VALUE"""),29428115)</f>
        <v>29428115</v>
      </c>
      <c r="D2" s="14" t="str">
        <f ca="1">IFERROR(__xludf.DUMMYFUNCTION("""COMPUTED_VALUE"""),"MG-SJ: 3.499,-")</f>
        <v>MG-SJ: 3.499,-</v>
      </c>
      <c r="E2" s="14">
        <f ca="1">IFERROR(__xludf.DUMMYFUNCTION("""COMPUTED_VALUE"""),1202)</f>
        <v>1202</v>
      </c>
      <c r="F2" s="14" t="str">
        <f ca="1">IFERROR(__xludf.DUMMYFUNCTION("""COMPUTED_VALUE"""),"Brian Greve")</f>
        <v>Brian Greve</v>
      </c>
      <c r="G2" s="14" t="str">
        <f ca="1">IFERROR(__xludf.DUMMYFUNCTION("""COMPUTED_VALUE"""),"beg@lokalbolig.dk")</f>
        <v>beg@lokalbolig.dk</v>
      </c>
      <c r="H2" s="14" t="str">
        <f ca="1">IFERROR(__xludf.DUMMYFUNCTION("""COMPUTED_VALUE"""),"41 89 07 02")</f>
        <v>41 89 07 02</v>
      </c>
      <c r="I2" s="14" t="str">
        <f ca="1">IFERROR(__xludf.DUMMYFUNCTION("""COMPUTED_VALUE"""),"Holmbladsgade 76")</f>
        <v>Holmbladsgade 76</v>
      </c>
      <c r="J2" s="14">
        <f ca="1">IFERROR(__xludf.DUMMYFUNCTION("""COMPUTED_VALUE"""),2300)</f>
        <v>2300</v>
      </c>
      <c r="K2" s="14" t="str">
        <f ca="1">IFERROR(__xludf.DUMMYFUNCTION("""COMPUTED_VALUE"""),"København S")</f>
        <v>København S</v>
      </c>
      <c r="L2" s="14" t="str">
        <f ca="1">IFERROR(__xludf.DUMMYFUNCTION("""COMPUTED_VALUE"""),"København")</f>
        <v>København</v>
      </c>
      <c r="M2" s="14" t="str">
        <f ca="1">IFERROR(__xludf.DUMMYFUNCTION("""COMPUTED_VALUE"""),"København By")</f>
        <v>København By</v>
      </c>
      <c r="N2" s="14" t="str">
        <f ca="1">IFERROR(__xludf.DUMMYFUNCTION("""COMPUTED_VALUE"""),"Hovedstaden")</f>
        <v>Hovedstaden</v>
      </c>
      <c r="O2" s="14" t="str">
        <f ca="1">IFERROR(__xludf.DUMMYFUNCTION("""COMPUTED_VALUE"""),"36 30 15 55")</f>
        <v>36 30 15 55</v>
      </c>
      <c r="P2" s="14" t="str">
        <f ca="1">IFERROR(__xludf.DUMMYFUNCTION("""COMPUTED_VALUE"""),"amager@lokalbolig.dk")</f>
        <v>amager@lokalbolig.dk</v>
      </c>
      <c r="Q2" s="15" t="str">
        <f ca="1">IFERROR(__xludf.DUMMYFUNCTION("""COMPUTED_VALUE"""),"https://www.boliga.dk/maegler/19234")</f>
        <v>https://www.boliga.dk/maegler/19234</v>
      </c>
      <c r="R2" s="14" t="str">
        <f ca="1">IFERROR(__xludf.DUMMYFUNCTION("""COMPUTED_VALUE"""),"-")</f>
        <v>-</v>
      </c>
      <c r="S2" s="14" t="str">
        <f ca="1">IFERROR(__xludf.DUMMYFUNCTION("""COMPUTED_VALUE"""),"-")</f>
        <v>-</v>
      </c>
      <c r="T2" s="14" t="str">
        <f ca="1">IFERROR(__xludf.DUMMYFUNCTION("""COMPUTED_VALUE"""),"-")</f>
        <v>-</v>
      </c>
      <c r="U2" s="14">
        <f ca="1">IFERROR(__xludf.DUMMYFUNCTION("""COMPUTED_VALUE"""),16)</f>
        <v>16</v>
      </c>
      <c r="V2" s="14">
        <f ca="1">IFERROR(__xludf.DUMMYFUNCTION("""COMPUTED_VALUE"""),2300)</f>
        <v>2300</v>
      </c>
      <c r="W2" s="14">
        <f ca="1">IFERROR(__xludf.DUMMYFUNCTION("""COMPUTED_VALUE"""),30)</f>
        <v>30</v>
      </c>
      <c r="X2" s="14">
        <f ca="1">IFERROR(__xludf.DUMMYFUNCTION("""COMPUTED_VALUE"""),2300)</f>
        <v>2300</v>
      </c>
      <c r="Y2" s="14" t="str">
        <f ca="1">IFERROR(__xludf.DUMMYFUNCTION("""COMPUTED_VALUE"""),"ja")</f>
        <v>ja</v>
      </c>
      <c r="Z2" s="14"/>
      <c r="AA2" s="14"/>
      <c r="AB2" s="14" t="str">
        <f ca="1">IFERROR(__xludf.DUMMYFUNCTION("""COMPUTED_VALUE"""),"x")</f>
        <v>x</v>
      </c>
      <c r="AC2" s="14" t="str">
        <f ca="1">IFERROR(__xludf.DUMMYFUNCTION("""COMPUTED_VALUE"""),"x")</f>
        <v>x</v>
      </c>
    </row>
    <row r="3" spans="1:30" ht="15.75" customHeight="1" x14ac:dyDescent="0.25">
      <c r="A3" s="14" t="str">
        <f ca="1">IFERROR(__xludf.DUMMYFUNCTION("""COMPUTED_VALUE"""),"Camilla")</f>
        <v>Camilla</v>
      </c>
      <c r="B3" s="14" t="str">
        <f ca="1">IFERROR(__xludf.DUMMYFUNCTION("""COMPUTED_VALUE"""),"LokalBolig Brønshøj/Vanløse ApS")</f>
        <v>LokalBolig Brønshøj/Vanløse ApS</v>
      </c>
      <c r="C3" s="14">
        <f ca="1">IFERROR(__xludf.DUMMYFUNCTION("""COMPUTED_VALUE"""),37250155)</f>
        <v>37250155</v>
      </c>
      <c r="D3" s="14" t="str">
        <f ca="1">IFERROR(__xludf.DUMMYFUNCTION("""COMPUTED_VALUE"""),"MG-SJ: 3.499,-")</f>
        <v>MG-SJ: 3.499,-</v>
      </c>
      <c r="E3" s="14">
        <f ca="1">IFERROR(__xludf.DUMMYFUNCTION("""COMPUTED_VALUE"""),1202)</f>
        <v>1202</v>
      </c>
      <c r="F3" s="14" t="str">
        <f ca="1">IFERROR(__xludf.DUMMYFUNCTION("""COMPUTED_VALUE"""),"Jesper Strøm")</f>
        <v>Jesper Strøm</v>
      </c>
      <c r="G3" s="14" t="str">
        <f ca="1">IFERROR(__xludf.DUMMYFUNCTION("""COMPUTED_VALUE"""),"js@lokalbolig.dk")</f>
        <v>js@lokalbolig.dk</v>
      </c>
      <c r="H3" s="14" t="str">
        <f ca="1">IFERROR(__xludf.DUMMYFUNCTION("""COMPUTED_VALUE"""),"40 17 70 40")</f>
        <v>40 17 70 40</v>
      </c>
      <c r="I3" s="14" t="str">
        <f ca="1">IFERROR(__xludf.DUMMYFUNCTION("""COMPUTED_VALUE"""),"Frederikssundsvej 185")</f>
        <v>Frederikssundsvej 185</v>
      </c>
      <c r="J3" s="14">
        <f ca="1">IFERROR(__xludf.DUMMYFUNCTION("""COMPUTED_VALUE"""),2700)</f>
        <v>2700</v>
      </c>
      <c r="K3" s="14" t="str">
        <f ca="1">IFERROR(__xludf.DUMMYFUNCTION("""COMPUTED_VALUE"""),"Brønshøj")</f>
        <v>Brønshøj</v>
      </c>
      <c r="L3" s="14" t="str">
        <f ca="1">IFERROR(__xludf.DUMMYFUNCTION("""COMPUTED_VALUE"""),"København")</f>
        <v>København</v>
      </c>
      <c r="M3" s="14" t="str">
        <f ca="1">IFERROR(__xludf.DUMMYFUNCTION("""COMPUTED_VALUE"""),"København By")</f>
        <v>København By</v>
      </c>
      <c r="N3" s="19" t="str">
        <f ca="1">IFERROR(__xludf.DUMMYFUNCTION("""COMPUTED_VALUE"""),"Hovedstaden")</f>
        <v>Hovedstaden</v>
      </c>
      <c r="O3" s="14" t="str">
        <f ca="1">IFERROR(__xludf.DUMMYFUNCTION("""COMPUTED_VALUE"""),"38 80 98 10")</f>
        <v>38 80 98 10</v>
      </c>
      <c r="P3" s="14" t="str">
        <f ca="1">IFERROR(__xludf.DUMMYFUNCTION("""COMPUTED_VALUE"""),"broenshoej@lokalbolig.dk")</f>
        <v>broenshoej@lokalbolig.dk</v>
      </c>
      <c r="Q3" s="15" t="str">
        <f ca="1">IFERROR(__xludf.DUMMYFUNCTION("""COMPUTED_VALUE"""),"https://www.boliga.dk/maegler/19304")</f>
        <v>https://www.boliga.dk/maegler/19304</v>
      </c>
      <c r="R3" s="14" t="str">
        <f ca="1">IFERROR(__xludf.DUMMYFUNCTION("""COMPUTED_VALUE"""),"-")</f>
        <v>-</v>
      </c>
      <c r="S3" s="14" t="str">
        <f ca="1">IFERROR(__xludf.DUMMYFUNCTION("""COMPUTED_VALUE"""),"-")</f>
        <v>-</v>
      </c>
      <c r="T3" s="14" t="str">
        <f ca="1">IFERROR(__xludf.DUMMYFUNCTION("""COMPUTED_VALUE"""),"-")</f>
        <v>-</v>
      </c>
      <c r="U3" s="14">
        <f ca="1">IFERROR(__xludf.DUMMYFUNCTION("""COMPUTED_VALUE"""),16)</f>
        <v>16</v>
      </c>
      <c r="V3" s="14" t="str">
        <f ca="1">IFERROR(__xludf.DUMMYFUNCTION("""COMPUTED_VALUE"""),"2700, 2720")</f>
        <v>2700, 2720</v>
      </c>
      <c r="W3" s="14">
        <f ca="1">IFERROR(__xludf.DUMMYFUNCTION("""COMPUTED_VALUE"""),23)</f>
        <v>23</v>
      </c>
      <c r="X3" s="14" t="str">
        <f ca="1">IFERROR(__xludf.DUMMYFUNCTION("""COMPUTED_VALUE"""),"2700, 2720")</f>
        <v>2700, 2720</v>
      </c>
      <c r="Y3" s="14" t="str">
        <f ca="1">IFERROR(__xludf.DUMMYFUNCTION("""COMPUTED_VALUE"""),"ja")</f>
        <v>ja</v>
      </c>
      <c r="Z3" s="14"/>
      <c r="AA3" s="14"/>
      <c r="AB3" s="14" t="str">
        <f ca="1">IFERROR(__xludf.DUMMYFUNCTION("""COMPUTED_VALUE"""),"x")</f>
        <v>x</v>
      </c>
      <c r="AC3" s="14" t="str">
        <f ca="1">IFERROR(__xludf.DUMMYFUNCTION("""COMPUTED_VALUE"""),"x")</f>
        <v>x</v>
      </c>
    </row>
    <row r="4" spans="1:30" ht="15.75" customHeight="1" x14ac:dyDescent="0.25">
      <c r="A4" s="14" t="str">
        <f ca="1">IFERROR(__xludf.DUMMYFUNCTION("""COMPUTED_VALUE"""),"Camilla")</f>
        <v>Camilla</v>
      </c>
      <c r="B4" s="14" t="str">
        <f ca="1">IFERROR(__xludf.DUMMYFUNCTION("""COMPUTED_VALUE"""),"LokalBolig Frederiksberg og Vesterbro ApS")</f>
        <v>LokalBolig Frederiksberg og Vesterbro ApS</v>
      </c>
      <c r="C4" s="14">
        <f ca="1">IFERROR(__xludf.DUMMYFUNCTION("""COMPUTED_VALUE"""),31756286)</f>
        <v>31756286</v>
      </c>
      <c r="D4" s="14" t="str">
        <f ca="1">IFERROR(__xludf.DUMMYFUNCTION("""COMPUTED_VALUE"""),"MG-SJ: 3.499,-")</f>
        <v>MG-SJ: 3.499,-</v>
      </c>
      <c r="E4" s="14">
        <f ca="1">IFERROR(__xludf.DUMMYFUNCTION("""COMPUTED_VALUE"""),1202)</f>
        <v>1202</v>
      </c>
      <c r="F4" s="14" t="str">
        <f ca="1">IFERROR(__xludf.DUMMYFUNCTION("""COMPUTED_VALUE"""),"Morten Yde")</f>
        <v>Morten Yde</v>
      </c>
      <c r="G4" s="14" t="str">
        <f ca="1">IFERROR(__xludf.DUMMYFUNCTION("""COMPUTED_VALUE"""),"my@lokalbolig.dk")</f>
        <v>my@lokalbolig.dk</v>
      </c>
      <c r="H4" s="14">
        <f ca="1">IFERROR(__xludf.DUMMYFUNCTION("""COMPUTED_VALUE"""),41890710)</f>
        <v>41890710</v>
      </c>
      <c r="I4" s="14" t="str">
        <f ca="1">IFERROR(__xludf.DUMMYFUNCTION("""COMPUTED_VALUE"""),"Falkoner Alle 66")</f>
        <v>Falkoner Alle 66</v>
      </c>
      <c r="J4" s="14">
        <f ca="1">IFERROR(__xludf.DUMMYFUNCTION("""COMPUTED_VALUE"""),2000)</f>
        <v>2000</v>
      </c>
      <c r="K4" s="14" t="str">
        <f ca="1">IFERROR(__xludf.DUMMYFUNCTION("""COMPUTED_VALUE"""),"Frederiksberg C")</f>
        <v>Frederiksberg C</v>
      </c>
      <c r="L4" s="14" t="str">
        <f ca="1">IFERROR(__xludf.DUMMYFUNCTION("""COMPUTED_VALUE"""),"Frederiksberg")</f>
        <v>Frederiksberg</v>
      </c>
      <c r="M4" s="14" t="str">
        <f ca="1">IFERROR(__xludf.DUMMYFUNCTION("""COMPUTED_VALUE"""),"København By")</f>
        <v>København By</v>
      </c>
      <c r="N4" s="14" t="str">
        <f ca="1">IFERROR(__xludf.DUMMYFUNCTION("""COMPUTED_VALUE"""),"Hovedstaden")</f>
        <v>Hovedstaden</v>
      </c>
      <c r="O4" s="14" t="str">
        <f ca="1">IFERROR(__xludf.DUMMYFUNCTION("""COMPUTED_VALUE"""),"33 86 15 55")</f>
        <v>33 86 15 55</v>
      </c>
      <c r="P4" s="14" t="str">
        <f ca="1">IFERROR(__xludf.DUMMYFUNCTION("""COMPUTED_VALUE"""),"frederiksberg@lokalbolig.dk")</f>
        <v>frederiksberg@lokalbolig.dk</v>
      </c>
      <c r="Q4" s="15" t="str">
        <f ca="1">IFERROR(__xludf.DUMMYFUNCTION("""COMPUTED_VALUE"""),"https://www.boliga.dk/maegler/19238")</f>
        <v>https://www.boliga.dk/maegler/19238</v>
      </c>
      <c r="R4" s="14" t="str">
        <f ca="1">IFERROR(__xludf.DUMMYFUNCTION("""COMPUTED_VALUE"""),"-")</f>
        <v>-</v>
      </c>
      <c r="S4" s="14" t="str">
        <f ca="1">IFERROR(__xludf.DUMMYFUNCTION("""COMPUTED_VALUE"""),"-")</f>
        <v>-</v>
      </c>
      <c r="T4" s="14" t="str">
        <f ca="1">IFERROR(__xludf.DUMMYFUNCTION("""COMPUTED_VALUE"""),"-")</f>
        <v>-</v>
      </c>
      <c r="U4" s="14">
        <f ca="1">IFERROR(__xludf.DUMMYFUNCTION("""COMPUTED_VALUE"""),13)</f>
        <v>13</v>
      </c>
      <c r="V4" s="14" t="str">
        <f ca="1">IFERROR(__xludf.DUMMYFUNCTION("""COMPUTED_VALUE"""),"1864, 1669, 1908, 2000, 1674, 1870")</f>
        <v>1864, 1669, 1908, 2000, 1674, 1870</v>
      </c>
      <c r="W4" s="14">
        <f ca="1">IFERROR(__xludf.DUMMYFUNCTION("""COMPUTED_VALUE"""),22)</f>
        <v>22</v>
      </c>
      <c r="X4" s="14" t="str">
        <f ca="1">IFERROR(__xludf.DUMMYFUNCTION("""COMPUTED_VALUE"""),"1856, 1668, 1850, 1810, 2000, 1674, 1911")</f>
        <v>1856, 1668, 1850, 1810, 2000, 1674, 1911</v>
      </c>
      <c r="Y4" s="14" t="str">
        <f ca="1">IFERROR(__xludf.DUMMYFUNCTION("""COMPUTED_VALUE"""),"ja")</f>
        <v>ja</v>
      </c>
      <c r="Z4" s="14"/>
      <c r="AA4" s="14"/>
      <c r="AB4" s="14" t="str">
        <f ca="1">IFERROR(__xludf.DUMMYFUNCTION("""COMPUTED_VALUE"""),"x")</f>
        <v>x</v>
      </c>
      <c r="AC4" s="14" t="str">
        <f ca="1">IFERROR(__xludf.DUMMYFUNCTION("""COMPUTED_VALUE"""),"x")</f>
        <v>x</v>
      </c>
    </row>
    <row r="5" spans="1:30" ht="15.75" customHeight="1" x14ac:dyDescent="0.25">
      <c r="A5" s="14" t="str">
        <f ca="1">IFERROR(__xludf.DUMMYFUNCTION("""COMPUTED_VALUE"""),"Camilla")</f>
        <v>Camilla</v>
      </c>
      <c r="B5" s="14" t="str">
        <f ca="1">IFERROR(__xludf.DUMMYFUNCTION("""COMPUTED_VALUE"""),"LokalBolig Indre Østerbro ApS")</f>
        <v>LokalBolig Indre Østerbro ApS</v>
      </c>
      <c r="C5" s="14">
        <f ca="1">IFERROR(__xludf.DUMMYFUNCTION("""COMPUTED_VALUE"""),30913167)</f>
        <v>30913167</v>
      </c>
      <c r="D5" s="14" t="str">
        <f ca="1">IFERROR(__xludf.DUMMYFUNCTION("""COMPUTED_VALUE"""),"MG-SJ: 3.499,-")</f>
        <v>MG-SJ: 3.499,-</v>
      </c>
      <c r="E5" s="14">
        <f ca="1">IFERROR(__xludf.DUMMYFUNCTION("""COMPUTED_VALUE"""),1202)</f>
        <v>1202</v>
      </c>
      <c r="F5" s="14" t="str">
        <f ca="1">IFERROR(__xludf.DUMMYFUNCTION("""COMPUTED_VALUE"""),"Nicolai Bai")</f>
        <v>Nicolai Bai</v>
      </c>
      <c r="G5" s="14" t="str">
        <f ca="1">IFERROR(__xludf.DUMMYFUNCTION("""COMPUTED_VALUE"""),"nmb@lokalbolig.dk")</f>
        <v>nmb@lokalbolig.dk</v>
      </c>
      <c r="H5" s="14" t="str">
        <f ca="1">IFERROR(__xludf.DUMMYFUNCTION("""COMPUTED_VALUE"""),"22 29 60 90")</f>
        <v>22 29 60 90</v>
      </c>
      <c r="I5" s="14" t="str">
        <f ca="1">IFERROR(__xludf.DUMMYFUNCTION("""COMPUTED_VALUE"""),"Dag Hammarskjölds Allé 33")</f>
        <v>Dag Hammarskjölds Allé 33</v>
      </c>
      <c r="J5" s="14">
        <f ca="1">IFERROR(__xludf.DUMMYFUNCTION("""COMPUTED_VALUE"""),2100)</f>
        <v>2100</v>
      </c>
      <c r="K5" s="14" t="str">
        <f ca="1">IFERROR(__xludf.DUMMYFUNCTION("""COMPUTED_VALUE"""),"København Ø")</f>
        <v>København Ø</v>
      </c>
      <c r="L5" s="14" t="str">
        <f ca="1">IFERROR(__xludf.DUMMYFUNCTION("""COMPUTED_VALUE"""),"København")</f>
        <v>København</v>
      </c>
      <c r="M5" s="14" t="str">
        <f ca="1">IFERROR(__xludf.DUMMYFUNCTION("""COMPUTED_VALUE"""),"København By")</f>
        <v>København By</v>
      </c>
      <c r="N5" s="14" t="str">
        <f ca="1">IFERROR(__xludf.DUMMYFUNCTION("""COMPUTED_VALUE"""),"Hovedstaden")</f>
        <v>Hovedstaden</v>
      </c>
      <c r="O5" s="14" t="str">
        <f ca="1">IFERROR(__xludf.DUMMYFUNCTION("""COMPUTED_VALUE"""),"43 58 23 33")</f>
        <v>43 58 23 33</v>
      </c>
      <c r="P5" s="14" t="str">
        <f ca="1">IFERROR(__xludf.DUMMYFUNCTION("""COMPUTED_VALUE"""),"indreoesterbro@lokalbolig.dk")</f>
        <v>indreoesterbro@lokalbolig.dk</v>
      </c>
      <c r="Q5" s="15" t="str">
        <f ca="1">IFERROR(__xludf.DUMMYFUNCTION("""COMPUTED_VALUE"""),"https://www.boliga.dk/maegler/20289")</f>
        <v>https://www.boliga.dk/maegler/20289</v>
      </c>
      <c r="R5" s="14" t="str">
        <f ca="1">IFERROR(__xludf.DUMMYFUNCTION("""COMPUTED_VALUE"""),"-")</f>
        <v>-</v>
      </c>
      <c r="S5" s="14" t="str">
        <f ca="1">IFERROR(__xludf.DUMMYFUNCTION("""COMPUTED_VALUE"""),"-")</f>
        <v>-</v>
      </c>
      <c r="T5" s="14" t="str">
        <f ca="1">IFERROR(__xludf.DUMMYFUNCTION("""COMPUTED_VALUE"""),"-")</f>
        <v>-</v>
      </c>
      <c r="U5" s="14" t="str">
        <f ca="1">IFERROR(__xludf.DUMMYFUNCTION("""COMPUTED_VALUE"""),"-")</f>
        <v>-</v>
      </c>
      <c r="V5" s="14" t="str">
        <f ca="1">IFERROR(__xludf.DUMMYFUNCTION("""COMPUTED_VALUE"""),"-")</f>
        <v>-</v>
      </c>
      <c r="W5" s="14" t="str">
        <f ca="1">IFERROR(__xludf.DUMMYFUNCTION("""COMPUTED_VALUE"""),"-")</f>
        <v>-</v>
      </c>
      <c r="X5" s="14" t="str">
        <f ca="1">IFERROR(__xludf.DUMMYFUNCTION("""COMPUTED_VALUE"""),"-")</f>
        <v>-</v>
      </c>
      <c r="Y5" s="14" t="str">
        <f ca="1">IFERROR(__xludf.DUMMYFUNCTION("""COMPUTED_VALUE"""),"ja")</f>
        <v>ja</v>
      </c>
      <c r="Z5" s="14"/>
      <c r="AA5" s="14"/>
      <c r="AB5" s="14" t="str">
        <f ca="1">IFERROR(__xludf.DUMMYFUNCTION("""COMPUTED_VALUE"""),"x")</f>
        <v>x</v>
      </c>
      <c r="AC5" s="14" t="str">
        <f ca="1">IFERROR(__xludf.DUMMYFUNCTION("""COMPUTED_VALUE"""),"x")</f>
        <v>x</v>
      </c>
    </row>
    <row r="6" spans="1:30" ht="15.75" customHeight="1" x14ac:dyDescent="0.25">
      <c r="A6" s="14" t="str">
        <f ca="1">IFERROR(__xludf.DUMMYFUNCTION("""COMPUTED_VALUE"""),"Camilla")</f>
        <v>Camilla</v>
      </c>
      <c r="B6" s="14" t="str">
        <f ca="1">IFERROR(__xludf.DUMMYFUNCTION("""COMPUTED_VALUE"""),"LokalBolig Kastrup/Tårnby/Dragør ApS")</f>
        <v>LokalBolig Kastrup/Tårnby/Dragør ApS</v>
      </c>
      <c r="C6" s="14">
        <f ca="1">IFERROR(__xludf.DUMMYFUNCTION("""COMPUTED_VALUE"""),32789307)</f>
        <v>32789307</v>
      </c>
      <c r="D6" s="14" t="str">
        <f ca="1">IFERROR(__xludf.DUMMYFUNCTION("""COMPUTED_VALUE"""),"MG-SJ: 3.499,-")</f>
        <v>MG-SJ: 3.499,-</v>
      </c>
      <c r="E6" s="14">
        <f ca="1">IFERROR(__xludf.DUMMYFUNCTION("""COMPUTED_VALUE"""),1202)</f>
        <v>1202</v>
      </c>
      <c r="F6" s="14" t="str">
        <f ca="1">IFERROR(__xludf.DUMMYFUNCTION("""COMPUTED_VALUE"""),"Kasper Terkildsen")</f>
        <v>Kasper Terkildsen</v>
      </c>
      <c r="G6" s="14" t="str">
        <f ca="1">IFERROR(__xludf.DUMMYFUNCTION("""COMPUTED_VALUE"""),"kte@lokalbolig.dk")</f>
        <v>kte@lokalbolig.dk</v>
      </c>
      <c r="H6" s="14" t="str">
        <f ca="1">IFERROR(__xludf.DUMMYFUNCTION("""COMPUTED_VALUE"""),"31 43 53 70")</f>
        <v>31 43 53 70</v>
      </c>
      <c r="I6" s="14" t="str">
        <f ca="1">IFERROR(__xludf.DUMMYFUNCTION("""COMPUTED_VALUE"""),"Kongelundsvej 264")</f>
        <v>Kongelundsvej 264</v>
      </c>
      <c r="J6" s="14">
        <f ca="1">IFERROR(__xludf.DUMMYFUNCTION("""COMPUTED_VALUE"""),2770)</f>
        <v>2770</v>
      </c>
      <c r="K6" s="14" t="str">
        <f ca="1">IFERROR(__xludf.DUMMYFUNCTION("""COMPUTED_VALUE"""),"Kastrup")</f>
        <v>Kastrup</v>
      </c>
      <c r="L6" s="14" t="str">
        <f ca="1">IFERROR(__xludf.DUMMYFUNCTION("""COMPUTED_VALUE"""),"Tårnby")</f>
        <v>Tårnby</v>
      </c>
      <c r="M6" s="14" t="str">
        <f ca="1">IFERROR(__xludf.DUMMYFUNCTION("""COMPUTED_VALUE"""),"København By")</f>
        <v>København By</v>
      </c>
      <c r="N6" s="14" t="str">
        <f ca="1">IFERROR(__xludf.DUMMYFUNCTION("""COMPUTED_VALUE"""),"Hovedstaden")</f>
        <v>Hovedstaden</v>
      </c>
      <c r="O6" s="14" t="str">
        <f ca="1">IFERROR(__xludf.DUMMYFUNCTION("""COMPUTED_VALUE"""),"36 30 15 52")</f>
        <v>36 30 15 52</v>
      </c>
      <c r="P6" s="14" t="str">
        <f ca="1">IFERROR(__xludf.DUMMYFUNCTION("""COMPUTED_VALUE"""),"kastrup@lokalbolig.dk")</f>
        <v>kastrup@lokalbolig.dk</v>
      </c>
      <c r="Q6" s="15" t="str">
        <f ca="1">IFERROR(__xludf.DUMMYFUNCTION("""COMPUTED_VALUE"""),"https://www.boliga.dk/maegler/19307")</f>
        <v>https://www.boliga.dk/maegler/19307</v>
      </c>
      <c r="R6" s="14" t="str">
        <f ca="1">IFERROR(__xludf.DUMMYFUNCTION("""COMPUTED_VALUE"""),"-")</f>
        <v>-</v>
      </c>
      <c r="S6" s="14" t="str">
        <f ca="1">IFERROR(__xludf.DUMMYFUNCTION("""COMPUTED_VALUE"""),"-")</f>
        <v>-</v>
      </c>
      <c r="T6" s="14" t="str">
        <f ca="1">IFERROR(__xludf.DUMMYFUNCTION("""COMPUTED_VALUE"""),"-")</f>
        <v>-</v>
      </c>
      <c r="U6" s="14">
        <f ca="1">IFERROR(__xludf.DUMMYFUNCTION("""COMPUTED_VALUE"""),3)</f>
        <v>3</v>
      </c>
      <c r="V6" s="14" t="str">
        <f ca="1">IFERROR(__xludf.DUMMYFUNCTION("""COMPUTED_VALUE"""),"2791, 2770")</f>
        <v>2791, 2770</v>
      </c>
      <c r="W6" s="14">
        <f ca="1">IFERROR(__xludf.DUMMYFUNCTION("""COMPUTED_VALUE"""),10)</f>
        <v>10</v>
      </c>
      <c r="X6" s="14" t="str">
        <f ca="1">IFERROR(__xludf.DUMMYFUNCTION("""COMPUTED_VALUE"""),"2791, 2770")</f>
        <v>2791, 2770</v>
      </c>
      <c r="Y6" s="14" t="str">
        <f ca="1">IFERROR(__xludf.DUMMYFUNCTION("""COMPUTED_VALUE"""),"ja")</f>
        <v>ja</v>
      </c>
      <c r="Z6" s="14" t="str">
        <f ca="1">IFERROR(__xludf.DUMMYFUNCTION("""COMPUTED_VALUE"""),"Kontakt: Brian Greve")</f>
        <v>Kontakt: Brian Greve</v>
      </c>
      <c r="AA6" s="14"/>
      <c r="AB6" s="14" t="str">
        <f ca="1">IFERROR(__xludf.DUMMYFUNCTION("""COMPUTED_VALUE"""),"x")</f>
        <v>x</v>
      </c>
      <c r="AC6" s="14" t="str">
        <f ca="1">IFERROR(__xludf.DUMMYFUNCTION("""COMPUTED_VALUE"""),"x")</f>
        <v>x</v>
      </c>
    </row>
    <row r="7" spans="1:30" ht="15.75" customHeight="1" x14ac:dyDescent="0.25">
      <c r="A7" s="14" t="str">
        <f ca="1">IFERROR(__xludf.DUMMYFUNCTION("""COMPUTED_VALUE"""),"Camilla")</f>
        <v>Camilla</v>
      </c>
      <c r="B7" s="14" t="str">
        <f ca="1">IFERROR(__xludf.DUMMYFUNCTION("""COMPUTED_VALUE"""),"LokalBolig København K/City ApS")</f>
        <v>LokalBolig København K/City ApS</v>
      </c>
      <c r="C7" s="14">
        <f ca="1">IFERROR(__xludf.DUMMYFUNCTION("""COMPUTED_VALUE"""),35245901)</f>
        <v>35245901</v>
      </c>
      <c r="D7" s="14" t="str">
        <f ca="1">IFERROR(__xludf.DUMMYFUNCTION("""COMPUTED_VALUE"""),"MG-SJ: 3.499,-")</f>
        <v>MG-SJ: 3.499,-</v>
      </c>
      <c r="E7" s="14">
        <f ca="1">IFERROR(__xludf.DUMMYFUNCTION("""COMPUTED_VALUE"""),1202)</f>
        <v>1202</v>
      </c>
      <c r="F7" s="14" t="str">
        <f ca="1">IFERROR(__xludf.DUMMYFUNCTION("""COMPUTED_VALUE"""),"Thomas Vinther")</f>
        <v>Thomas Vinther</v>
      </c>
      <c r="G7" s="14" t="str">
        <f ca="1">IFERROR(__xludf.DUMMYFUNCTION("""COMPUTED_VALUE"""),"tfv@lokalbolig.dk")</f>
        <v>tfv@lokalbolig.dk</v>
      </c>
      <c r="H7" s="14" t="str">
        <f ca="1">IFERROR(__xludf.DUMMYFUNCTION("""COMPUTED_VALUE"""),"41 89 07 34")</f>
        <v>41 89 07 34</v>
      </c>
      <c r="I7" s="14" t="str">
        <f ca="1">IFERROR(__xludf.DUMMYFUNCTION("""COMPUTED_VALUE"""),"Nikolaj Plads 26")</f>
        <v>Nikolaj Plads 26</v>
      </c>
      <c r="J7" s="14">
        <f ca="1">IFERROR(__xludf.DUMMYFUNCTION("""COMPUTED_VALUE"""),1067)</f>
        <v>1067</v>
      </c>
      <c r="K7" s="14" t="str">
        <f ca="1">IFERROR(__xludf.DUMMYFUNCTION("""COMPUTED_VALUE"""),"København K")</f>
        <v>København K</v>
      </c>
      <c r="L7" s="14" t="str">
        <f ca="1">IFERROR(__xludf.DUMMYFUNCTION("""COMPUTED_VALUE"""),"København")</f>
        <v>København</v>
      </c>
      <c r="M7" s="14" t="str">
        <f ca="1">IFERROR(__xludf.DUMMYFUNCTION("""COMPUTED_VALUE"""),"København By")</f>
        <v>København By</v>
      </c>
      <c r="N7" s="14" t="str">
        <f ca="1">IFERROR(__xludf.DUMMYFUNCTION("""COMPUTED_VALUE"""),"Hovedstaden")</f>
        <v>Hovedstaden</v>
      </c>
      <c r="O7" s="14" t="str">
        <f ca="1">IFERROR(__xludf.DUMMYFUNCTION("""COMPUTED_VALUE"""),"36 45 15 55")</f>
        <v>36 45 15 55</v>
      </c>
      <c r="P7" s="14" t="str">
        <f ca="1">IFERROR(__xludf.DUMMYFUNCTION("""COMPUTED_VALUE"""),"city@lokalbolig.dk")</f>
        <v>city@lokalbolig.dk</v>
      </c>
      <c r="Q7" s="15" t="str">
        <f ca="1">IFERROR(__xludf.DUMMYFUNCTION("""COMPUTED_VALUE"""),"https://www.boliga.dk/maegler/19248")</f>
        <v>https://www.boliga.dk/maegler/19248</v>
      </c>
      <c r="R7" s="14" t="str">
        <f ca="1">IFERROR(__xludf.DUMMYFUNCTION("""COMPUTED_VALUE"""),"-")</f>
        <v>-</v>
      </c>
      <c r="S7" s="14" t="str">
        <f ca="1">IFERROR(__xludf.DUMMYFUNCTION("""COMPUTED_VALUE"""),"-")</f>
        <v>-</v>
      </c>
      <c r="T7" s="14" t="str">
        <f ca="1">IFERROR(__xludf.DUMMYFUNCTION("""COMPUTED_VALUE"""),"-")</f>
        <v>-</v>
      </c>
      <c r="U7" s="14">
        <f ca="1">IFERROR(__xludf.DUMMYFUNCTION("""COMPUTED_VALUE"""),19)</f>
        <v>19</v>
      </c>
      <c r="V7" s="14" t="str">
        <f ca="1">IFERROR(__xludf.DUMMYFUNCTION("""COMPUTED_VALUE"""),"1204, 1119, 1171, 1116, 1454, 1424, 1455, 1123, 1264, 1209, 1453, 1205, 1415, 1256, 1302, 1452, 1468")</f>
        <v>1204, 1119, 1171, 1116, 1454, 1424, 1455, 1123, 1264, 1209, 1453, 1205, 1415, 1256, 1302, 1452, 1468</v>
      </c>
      <c r="W7" s="14">
        <f ca="1">IFERROR(__xludf.DUMMYFUNCTION("""COMPUTED_VALUE"""),16)</f>
        <v>16</v>
      </c>
      <c r="X7" s="14" t="str">
        <f ca="1">IFERROR(__xludf.DUMMYFUNCTION("""COMPUTED_VALUE"""),"1104, 1366, 1208, 1209, 1159, 1360, 1205, 1401, 1211, 1302, 1306, 1310, 1414, 1472")</f>
        <v>1104, 1366, 1208, 1209, 1159, 1360, 1205, 1401, 1211, 1302, 1306, 1310, 1414, 1472</v>
      </c>
      <c r="Y7" s="14" t="str">
        <f ca="1">IFERROR(__xludf.DUMMYFUNCTION("""COMPUTED_VALUE"""),"ja")</f>
        <v>ja</v>
      </c>
      <c r="Z7" s="14"/>
      <c r="AA7" s="14"/>
      <c r="AB7" s="14" t="str">
        <f ca="1">IFERROR(__xludf.DUMMYFUNCTION("""COMPUTED_VALUE"""),"x")</f>
        <v>x</v>
      </c>
      <c r="AC7" s="14" t="str">
        <f ca="1">IFERROR(__xludf.DUMMYFUNCTION("""COMPUTED_VALUE"""),"x")</f>
        <v>x</v>
      </c>
    </row>
    <row r="8" spans="1:30" ht="15.75" customHeight="1" x14ac:dyDescent="0.25">
      <c r="A8" s="14" t="str">
        <f ca="1">IFERROR(__xludf.DUMMYFUNCTION("""COMPUTED_VALUE"""),"Camilla")</f>
        <v>Camilla</v>
      </c>
      <c r="B8" s="14" t="str">
        <f ca="1">IFERROR(__xludf.DUMMYFUNCTION("""COMPUTED_VALUE"""),"LokalBolig Nørrebro/Nordvest ApS")</f>
        <v>LokalBolig Nørrebro/Nordvest ApS</v>
      </c>
      <c r="C8" s="14">
        <f ca="1">IFERROR(__xludf.DUMMYFUNCTION("""COMPUTED_VALUE"""),30548248)</f>
        <v>30548248</v>
      </c>
      <c r="D8" s="14" t="str">
        <f ca="1">IFERROR(__xludf.DUMMYFUNCTION("""COMPUTED_VALUE"""),"MG-SJ: 3.499,-")</f>
        <v>MG-SJ: 3.499,-</v>
      </c>
      <c r="E8" s="14">
        <f ca="1">IFERROR(__xludf.DUMMYFUNCTION("""COMPUTED_VALUE"""),1202)</f>
        <v>1202</v>
      </c>
      <c r="F8" s="14" t="str">
        <f ca="1">IFERROR(__xludf.DUMMYFUNCTION("""COMPUTED_VALUE"""),"Jesper Christoffersen")</f>
        <v>Jesper Christoffersen</v>
      </c>
      <c r="G8" s="15" t="str">
        <f ca="1">IFERROR(__xludf.DUMMYFUNCTION("""COMPUTED_VALUE"""),"jc@lokalbolig.dk")</f>
        <v>jc@lokalbolig.dk</v>
      </c>
      <c r="H8" s="14" t="str">
        <f ca="1">IFERROR(__xludf.DUMMYFUNCTION("""COMPUTED_VALUE"""),"26 74 00 99")</f>
        <v>26 74 00 99</v>
      </c>
      <c r="I8" s="14" t="str">
        <f ca="1">IFERROR(__xludf.DUMMYFUNCTION("""COMPUTED_VALUE"""),"Fælledvej 14")</f>
        <v>Fælledvej 14</v>
      </c>
      <c r="J8" s="14">
        <f ca="1">IFERROR(__xludf.DUMMYFUNCTION("""COMPUTED_VALUE"""),2200)</f>
        <v>2200</v>
      </c>
      <c r="K8" s="14" t="str">
        <f ca="1">IFERROR(__xludf.DUMMYFUNCTION("""COMPUTED_VALUE"""),"København N")</f>
        <v>København N</v>
      </c>
      <c r="L8" s="14" t="str">
        <f ca="1">IFERROR(__xludf.DUMMYFUNCTION("""COMPUTED_VALUE"""),"København")</f>
        <v>København</v>
      </c>
      <c r="M8" s="14" t="str">
        <f ca="1">IFERROR(__xludf.DUMMYFUNCTION("""COMPUTED_VALUE"""),"København By")</f>
        <v>København By</v>
      </c>
      <c r="N8" s="14" t="str">
        <f ca="1">IFERROR(__xludf.DUMMYFUNCTION("""COMPUTED_VALUE"""),"Hovedstaden")</f>
        <v>Hovedstaden</v>
      </c>
      <c r="O8" s="14" t="str">
        <f ca="1">IFERROR(__xludf.DUMMYFUNCTION("""COMPUTED_VALUE"""),"35 39 15 55")</f>
        <v>35 39 15 55</v>
      </c>
      <c r="P8" s="14" t="str">
        <f ca="1">IFERROR(__xludf.DUMMYFUNCTION("""COMPUTED_VALUE"""),"noerrebro@lokalbolig.dk")</f>
        <v>noerrebro@lokalbolig.dk</v>
      </c>
      <c r="Q8" s="15" t="str">
        <f ca="1">IFERROR(__xludf.DUMMYFUNCTION("""COMPUTED_VALUE"""),"https://www.boliga.dk/maegler/19253")</f>
        <v>https://www.boliga.dk/maegler/19253</v>
      </c>
      <c r="R8" s="14" t="str">
        <f ca="1">IFERROR(__xludf.DUMMYFUNCTION("""COMPUTED_VALUE"""),"-")</f>
        <v>-</v>
      </c>
      <c r="S8" s="14" t="str">
        <f ca="1">IFERROR(__xludf.DUMMYFUNCTION("""COMPUTED_VALUE"""),"-")</f>
        <v>-</v>
      </c>
      <c r="T8" s="14" t="str">
        <f ca="1">IFERROR(__xludf.DUMMYFUNCTION("""COMPUTED_VALUE"""),"-")</f>
        <v>-</v>
      </c>
      <c r="U8" s="14">
        <f ca="1">IFERROR(__xludf.DUMMYFUNCTION("""COMPUTED_VALUE"""),6)</f>
        <v>6</v>
      </c>
      <c r="V8" s="14" t="str">
        <f ca="1">IFERROR(__xludf.DUMMYFUNCTION("""COMPUTED_VALUE"""),"2400, 2200")</f>
        <v>2400, 2200</v>
      </c>
      <c r="W8" s="14">
        <f ca="1">IFERROR(__xludf.DUMMYFUNCTION("""COMPUTED_VALUE"""),29)</f>
        <v>29</v>
      </c>
      <c r="X8" s="14" t="str">
        <f ca="1">IFERROR(__xludf.DUMMYFUNCTION("""COMPUTED_VALUE"""),"2400, 2200")</f>
        <v>2400, 2200</v>
      </c>
      <c r="Y8" s="14" t="str">
        <f ca="1">IFERROR(__xludf.DUMMYFUNCTION("""COMPUTED_VALUE"""),"ja")</f>
        <v>ja</v>
      </c>
      <c r="Z8" s="14"/>
      <c r="AA8" s="14"/>
      <c r="AB8" s="14" t="str">
        <f ca="1">IFERROR(__xludf.DUMMYFUNCTION("""COMPUTED_VALUE"""),"x")</f>
        <v>x</v>
      </c>
      <c r="AC8" s="14" t="str">
        <f ca="1">IFERROR(__xludf.DUMMYFUNCTION("""COMPUTED_VALUE"""),"x")</f>
        <v>x</v>
      </c>
    </row>
    <row r="9" spans="1:30" ht="15.75" customHeight="1" x14ac:dyDescent="0.25">
      <c r="A9" s="14" t="str">
        <f ca="1">IFERROR(__xludf.DUMMYFUNCTION("""COMPUTED_VALUE"""),"Camilla")</f>
        <v>Camilla</v>
      </c>
      <c r="B9" s="14" t="str">
        <f ca="1">IFERROR(__xludf.DUMMYFUNCTION("""COMPUTED_VALUE"""),"LokalBolig Sydhavn/Valby ApS")</f>
        <v>LokalBolig Sydhavn/Valby ApS</v>
      </c>
      <c r="C9" s="14">
        <f ca="1">IFERROR(__xludf.DUMMYFUNCTION("""COMPUTED_VALUE"""),39019418)</f>
        <v>39019418</v>
      </c>
      <c r="D9" s="14" t="str">
        <f ca="1">IFERROR(__xludf.DUMMYFUNCTION("""COMPUTED_VALUE"""),"MG-SJ: 3.499,-")</f>
        <v>MG-SJ: 3.499,-</v>
      </c>
      <c r="E9" s="14">
        <f ca="1">IFERROR(__xludf.DUMMYFUNCTION("""COMPUTED_VALUE"""),1202)</f>
        <v>1202</v>
      </c>
      <c r="F9" s="14" t="str">
        <f ca="1">IFERROR(__xludf.DUMMYFUNCTION("""COMPUTED_VALUE"""),"Nicolai Bai")</f>
        <v>Nicolai Bai</v>
      </c>
      <c r="G9" s="14" t="str">
        <f ca="1">IFERROR(__xludf.DUMMYFUNCTION("""COMPUTED_VALUE"""),"nmb@lokalbolig.dk")</f>
        <v>nmb@lokalbolig.dk</v>
      </c>
      <c r="H9" s="14" t="str">
        <f ca="1">IFERROR(__xludf.DUMMYFUNCTION("""COMPUTED_VALUE"""),"22 29 60 90")</f>
        <v>22 29 60 90</v>
      </c>
      <c r="I9" s="14" t="str">
        <f ca="1">IFERROR(__xludf.DUMMYFUNCTION("""COMPUTED_VALUE"""),"Ernie Wilkins Vej 1")</f>
        <v>Ernie Wilkins Vej 1</v>
      </c>
      <c r="J9" s="14">
        <f ca="1">IFERROR(__xludf.DUMMYFUNCTION("""COMPUTED_VALUE"""),2450)</f>
        <v>2450</v>
      </c>
      <c r="K9" s="14" t="str">
        <f ca="1">IFERROR(__xludf.DUMMYFUNCTION("""COMPUTED_VALUE"""),"København SV")</f>
        <v>København SV</v>
      </c>
      <c r="L9" s="14" t="str">
        <f ca="1">IFERROR(__xludf.DUMMYFUNCTION("""COMPUTED_VALUE"""),"København")</f>
        <v>København</v>
      </c>
      <c r="M9" s="14" t="str">
        <f ca="1">IFERROR(__xludf.DUMMYFUNCTION("""COMPUTED_VALUE"""),"København By")</f>
        <v>København By</v>
      </c>
      <c r="N9" s="14" t="str">
        <f ca="1">IFERROR(__xludf.DUMMYFUNCTION("""COMPUTED_VALUE"""),"Hovedstaden")</f>
        <v>Hovedstaden</v>
      </c>
      <c r="O9" s="14">
        <f ca="1">IFERROR(__xludf.DUMMYFUNCTION("""COMPUTED_VALUE"""),36461555)</f>
        <v>36461555</v>
      </c>
      <c r="P9" s="14" t="str">
        <f ca="1">IFERROR(__xludf.DUMMYFUNCTION("""COMPUTED_VALUE"""),"sydhavn@lokalbolig.dk")</f>
        <v>sydhavn@lokalbolig.dk</v>
      </c>
      <c r="Q9" s="15" t="str">
        <f ca="1">IFERROR(__xludf.DUMMYFUNCTION("""COMPUTED_VALUE"""),"https://www.boliga.dk/maegler/25741")</f>
        <v>https://www.boliga.dk/maegler/25741</v>
      </c>
      <c r="R9" s="14" t="str">
        <f ca="1">IFERROR(__xludf.DUMMYFUNCTION("""COMPUTED_VALUE"""),"-")</f>
        <v>-</v>
      </c>
      <c r="S9" s="14" t="str">
        <f ca="1">IFERROR(__xludf.DUMMYFUNCTION("""COMPUTED_VALUE"""),"-")</f>
        <v>-</v>
      </c>
      <c r="T9" s="14" t="str">
        <f ca="1">IFERROR(__xludf.DUMMYFUNCTION("""COMPUTED_VALUE"""),"-")</f>
        <v>-</v>
      </c>
      <c r="U9" s="14">
        <f ca="1">IFERROR(__xludf.DUMMYFUNCTION("""COMPUTED_VALUE"""),16)</f>
        <v>16</v>
      </c>
      <c r="V9" s="14">
        <f ca="1">IFERROR(__xludf.DUMMYFUNCTION("""COMPUTED_VALUE"""),2450)</f>
        <v>2450</v>
      </c>
      <c r="W9" s="14">
        <f ca="1">IFERROR(__xludf.DUMMYFUNCTION("""COMPUTED_VALUE"""),26)</f>
        <v>26</v>
      </c>
      <c r="X9" s="14">
        <f ca="1">IFERROR(__xludf.DUMMYFUNCTION("""COMPUTED_VALUE"""),2450)</f>
        <v>2450</v>
      </c>
      <c r="Y9" s="14" t="str">
        <f ca="1">IFERROR(__xludf.DUMMYFUNCTION("""COMPUTED_VALUE"""),"ja")</f>
        <v>ja</v>
      </c>
      <c r="Z9" s="14"/>
      <c r="AA9" s="14"/>
      <c r="AB9" s="14" t="str">
        <f ca="1">IFERROR(__xludf.DUMMYFUNCTION("""COMPUTED_VALUE"""),"x")</f>
        <v>x</v>
      </c>
      <c r="AC9" s="14" t="str">
        <f ca="1">IFERROR(__xludf.DUMMYFUNCTION("""COMPUTED_VALUE"""),"x")</f>
        <v>x</v>
      </c>
    </row>
    <row r="10" spans="1:30" ht="15.75" customHeight="1" x14ac:dyDescent="0.25">
      <c r="A10" s="14" t="str">
        <f ca="1">IFERROR(__xludf.DUMMYFUNCTION("""COMPUTED_VALUE"""),"Camilla")</f>
        <v>Camilla</v>
      </c>
      <c r="B10" s="14" t="str">
        <f ca="1">IFERROR(__xludf.DUMMYFUNCTION("""COMPUTED_VALUE"""),"Lokalbolig Valby/Sydhavn ApS")</f>
        <v>Lokalbolig Valby/Sydhavn ApS</v>
      </c>
      <c r="C10" s="14">
        <f ca="1">IFERROR(__xludf.DUMMYFUNCTION("""COMPUTED_VALUE"""),39019418)</f>
        <v>39019418</v>
      </c>
      <c r="D10" s="14" t="str">
        <f ca="1">IFERROR(__xludf.DUMMYFUNCTION("""COMPUTED_VALUE"""),"MG-SJ: 3.499,-")</f>
        <v>MG-SJ: 3.499,-</v>
      </c>
      <c r="E10" s="14">
        <f ca="1">IFERROR(__xludf.DUMMYFUNCTION("""COMPUTED_VALUE"""),1202)</f>
        <v>1202</v>
      </c>
      <c r="F10" s="14" t="str">
        <f ca="1">IFERROR(__xludf.DUMMYFUNCTION("""COMPUTED_VALUE"""),"Nicolai Bai")</f>
        <v>Nicolai Bai</v>
      </c>
      <c r="G10" s="14" t="str">
        <f ca="1">IFERROR(__xludf.DUMMYFUNCTION("""COMPUTED_VALUE"""),"nmb@lokalbolig.dk")</f>
        <v>nmb@lokalbolig.dk</v>
      </c>
      <c r="H10" s="14" t="str">
        <f ca="1">IFERROR(__xludf.DUMMYFUNCTION("""COMPUTED_VALUE"""),"22 29 60 90")</f>
        <v>22 29 60 90</v>
      </c>
      <c r="I10" s="14" t="str">
        <f ca="1">IFERROR(__xludf.DUMMYFUNCTION("""COMPUTED_VALUE"""),"Valby Langgade 142")</f>
        <v>Valby Langgade 142</v>
      </c>
      <c r="J10" s="14">
        <f ca="1">IFERROR(__xludf.DUMMYFUNCTION("""COMPUTED_VALUE"""),2500)</f>
        <v>2500</v>
      </c>
      <c r="K10" s="14" t="str">
        <f ca="1">IFERROR(__xludf.DUMMYFUNCTION("""COMPUTED_VALUE"""),"Valby")</f>
        <v>Valby</v>
      </c>
      <c r="L10" s="14" t="str">
        <f ca="1">IFERROR(__xludf.DUMMYFUNCTION("""COMPUTED_VALUE"""),"København")</f>
        <v>København</v>
      </c>
      <c r="M10" s="14" t="str">
        <f ca="1">IFERROR(__xludf.DUMMYFUNCTION("""COMPUTED_VALUE"""),"København By")</f>
        <v>København By</v>
      </c>
      <c r="N10" s="14" t="str">
        <f ca="1">IFERROR(__xludf.DUMMYFUNCTION("""COMPUTED_VALUE"""),"Hovedstaden")</f>
        <v>Hovedstaden</v>
      </c>
      <c r="O10" s="14">
        <f ca="1">IFERROR(__xludf.DUMMYFUNCTION("""COMPUTED_VALUE"""),36461555)</f>
        <v>36461555</v>
      </c>
      <c r="P10" s="14" t="str">
        <f ca="1">IFERROR(__xludf.DUMMYFUNCTION("""COMPUTED_VALUE"""),"valby@lokalbolig.dk")</f>
        <v>valby@lokalbolig.dk</v>
      </c>
      <c r="Q10" s="15" t="str">
        <f ca="1">IFERROR(__xludf.DUMMYFUNCTION("""COMPUTED_VALUE"""),"https://www.boliga.dk/maegler/25214")</f>
        <v>https://www.boliga.dk/maegler/25214</v>
      </c>
      <c r="R10" s="14" t="str">
        <f ca="1">IFERROR(__xludf.DUMMYFUNCTION("""COMPUTED_VALUE"""),"-")</f>
        <v>-</v>
      </c>
      <c r="S10" s="14" t="str">
        <f ca="1">IFERROR(__xludf.DUMMYFUNCTION("""COMPUTED_VALUE"""),"-")</f>
        <v>-</v>
      </c>
      <c r="T10" s="14" t="str">
        <f ca="1">IFERROR(__xludf.DUMMYFUNCTION("""COMPUTED_VALUE"""),"-")</f>
        <v>-</v>
      </c>
      <c r="U10" s="14">
        <f ca="1">IFERROR(__xludf.DUMMYFUNCTION("""COMPUTED_VALUE"""),11)</f>
        <v>11</v>
      </c>
      <c r="V10" s="14">
        <f ca="1">IFERROR(__xludf.DUMMYFUNCTION("""COMPUTED_VALUE"""),2500)</f>
        <v>2500</v>
      </c>
      <c r="W10" s="14">
        <f ca="1">IFERROR(__xludf.DUMMYFUNCTION("""COMPUTED_VALUE"""),9)</f>
        <v>9</v>
      </c>
      <c r="X10" s="14">
        <f ca="1">IFERROR(__xludf.DUMMYFUNCTION("""COMPUTED_VALUE"""),2500)</f>
        <v>2500</v>
      </c>
      <c r="Y10" s="14" t="str">
        <f ca="1">IFERROR(__xludf.DUMMYFUNCTION("""COMPUTED_VALUE"""),"ja")</f>
        <v>ja</v>
      </c>
      <c r="Z10" s="14"/>
      <c r="AA10" s="14"/>
      <c r="AB10" s="14" t="str">
        <f ca="1">IFERROR(__xludf.DUMMYFUNCTION("""COMPUTED_VALUE"""),"x")</f>
        <v>x</v>
      </c>
      <c r="AC10" s="14" t="str">
        <f ca="1">IFERROR(__xludf.DUMMYFUNCTION("""COMPUTED_VALUE"""),"x")</f>
        <v>x</v>
      </c>
    </row>
    <row r="11" spans="1:30" ht="15.75" customHeight="1" x14ac:dyDescent="0.25">
      <c r="A11" s="14" t="str">
        <f ca="1">IFERROR(__xludf.DUMMYFUNCTION("""COMPUTED_VALUE"""),"Camilla")</f>
        <v>Camilla</v>
      </c>
      <c r="B11" s="14" t="str">
        <f ca="1">IFERROR(__xludf.DUMMYFUNCTION("""COMPUTED_VALUE"""),"LokalBolig Østerbro ApS")</f>
        <v>LokalBolig Østerbro ApS</v>
      </c>
      <c r="C11" s="14">
        <f ca="1">IFERROR(__xludf.DUMMYFUNCTION("""COMPUTED_VALUE"""),30913167)</f>
        <v>30913167</v>
      </c>
      <c r="D11" s="14" t="str">
        <f ca="1">IFERROR(__xludf.DUMMYFUNCTION("""COMPUTED_VALUE"""),"MG-SJ: 3.499,-")</f>
        <v>MG-SJ: 3.499,-</v>
      </c>
      <c r="E11" s="14">
        <f ca="1">IFERROR(__xludf.DUMMYFUNCTION("""COMPUTED_VALUE"""),1202)</f>
        <v>1202</v>
      </c>
      <c r="F11" s="14" t="str">
        <f ca="1">IFERROR(__xludf.DUMMYFUNCTION("""COMPUTED_VALUE"""),"Nicolai Bai")</f>
        <v>Nicolai Bai</v>
      </c>
      <c r="G11" s="14" t="str">
        <f ca="1">IFERROR(__xludf.DUMMYFUNCTION("""COMPUTED_VALUE"""),"nmb@lokalbolig.dk")</f>
        <v>nmb@lokalbolig.dk</v>
      </c>
      <c r="H11" s="14" t="str">
        <f ca="1">IFERROR(__xludf.DUMMYFUNCTION("""COMPUTED_VALUE"""),"22 29 60 90")</f>
        <v>22 29 60 90</v>
      </c>
      <c r="I11" s="14" t="str">
        <f ca="1">IFERROR(__xludf.DUMMYFUNCTION("""COMPUTED_VALUE"""),"Østerbrogade 167")</f>
        <v>Østerbrogade 167</v>
      </c>
      <c r="J11" s="14">
        <f ca="1">IFERROR(__xludf.DUMMYFUNCTION("""COMPUTED_VALUE"""),2100)</f>
        <v>2100</v>
      </c>
      <c r="K11" s="14" t="str">
        <f ca="1">IFERROR(__xludf.DUMMYFUNCTION("""COMPUTED_VALUE"""),"København Ø")</f>
        <v>København Ø</v>
      </c>
      <c r="L11" s="14" t="str">
        <f ca="1">IFERROR(__xludf.DUMMYFUNCTION("""COMPUTED_VALUE"""),"København")</f>
        <v>København</v>
      </c>
      <c r="M11" s="14" t="str">
        <f ca="1">IFERROR(__xludf.DUMMYFUNCTION("""COMPUTED_VALUE"""),"København By")</f>
        <v>København By</v>
      </c>
      <c r="N11" s="14" t="str">
        <f ca="1">IFERROR(__xludf.DUMMYFUNCTION("""COMPUTED_VALUE"""),"Hovedstaden")</f>
        <v>Hovedstaden</v>
      </c>
      <c r="O11" s="14" t="str">
        <f ca="1">IFERROR(__xludf.DUMMYFUNCTION("""COMPUTED_VALUE"""),"43 58 23 33")</f>
        <v>43 58 23 33</v>
      </c>
      <c r="P11" s="14" t="str">
        <f ca="1">IFERROR(__xludf.DUMMYFUNCTION("""COMPUTED_VALUE"""),"oesterbro@lokalbolig.dk")</f>
        <v>oesterbro@lokalbolig.dk</v>
      </c>
      <c r="Q11" s="15" t="str">
        <f ca="1">IFERROR(__xludf.DUMMYFUNCTION("""COMPUTED_VALUE"""),"https://www.boliga.dk/maegler/19259")</f>
        <v>https://www.boliga.dk/maegler/19259</v>
      </c>
      <c r="R11" s="14" t="str">
        <f ca="1">IFERROR(__xludf.DUMMYFUNCTION("""COMPUTED_VALUE"""),"-")</f>
        <v>-</v>
      </c>
      <c r="S11" s="14" t="str">
        <f ca="1">IFERROR(__xludf.DUMMYFUNCTION("""COMPUTED_VALUE"""),"-")</f>
        <v>-</v>
      </c>
      <c r="T11" s="14" t="str">
        <f ca="1">IFERROR(__xludf.DUMMYFUNCTION("""COMPUTED_VALUE"""),"-")</f>
        <v>-</v>
      </c>
      <c r="U11" s="14">
        <f ca="1">IFERROR(__xludf.DUMMYFUNCTION("""COMPUTED_VALUE"""),16)</f>
        <v>16</v>
      </c>
      <c r="V11" s="14">
        <f ca="1">IFERROR(__xludf.DUMMYFUNCTION("""COMPUTED_VALUE"""),2100)</f>
        <v>2100</v>
      </c>
      <c r="W11" s="14">
        <f ca="1">IFERROR(__xludf.DUMMYFUNCTION("""COMPUTED_VALUE"""),24)</f>
        <v>24</v>
      </c>
      <c r="X11" s="14" t="str">
        <f ca="1">IFERROR(__xludf.DUMMYFUNCTION("""COMPUTED_VALUE"""),"2100, 2150")</f>
        <v>2100, 2150</v>
      </c>
      <c r="Y11" s="14" t="str">
        <f ca="1">IFERROR(__xludf.DUMMYFUNCTION("""COMPUTED_VALUE"""),"ja")</f>
        <v>ja</v>
      </c>
      <c r="Z11" s="14"/>
      <c r="AA11" s="14"/>
      <c r="AB11" s="14" t="str">
        <f ca="1">IFERROR(__xludf.DUMMYFUNCTION("""COMPUTED_VALUE"""),"x")</f>
        <v>x</v>
      </c>
      <c r="AC11" s="14" t="str">
        <f ca="1">IFERROR(__xludf.DUMMYFUNCTION("""COMPUTED_VALUE"""),"x")</f>
        <v>x</v>
      </c>
    </row>
    <row r="12" spans="1:30" ht="15.75" customHeight="1" x14ac:dyDescent="0.25">
      <c r="A12" s="14" t="str">
        <f ca="1">IFERROR(__xludf.DUMMYFUNCTION("""COMPUTED_VALUE"""),"Camilla")</f>
        <v>Camilla</v>
      </c>
      <c r="B12" s="14" t="str">
        <f ca="1">IFERROR(__xludf.DUMMYFUNCTION("""COMPUTED_VALUE"""),"LokalBolig Herlev I/S")</f>
        <v>LokalBolig Herlev I/S</v>
      </c>
      <c r="C12" s="14">
        <f ca="1">IFERROR(__xludf.DUMMYFUNCTION("""COMPUTED_VALUE"""),43207970)</f>
        <v>43207970</v>
      </c>
      <c r="D12" s="14" t="str">
        <f ca="1">IFERROR(__xludf.DUMMYFUNCTION("""COMPUTED_VALUE"""),"MG-SJ: 3.499,-")</f>
        <v>MG-SJ: 3.499,-</v>
      </c>
      <c r="E12" s="14">
        <f ca="1">IFERROR(__xludf.DUMMYFUNCTION("""COMPUTED_VALUE"""),1202)</f>
        <v>1202</v>
      </c>
      <c r="F12" s="14" t="str">
        <f ca="1">IFERROR(__xludf.DUMMYFUNCTION("""COMPUTED_VALUE"""),"Nicki Albek")</f>
        <v>Nicki Albek</v>
      </c>
      <c r="G12" s="14" t="str">
        <f ca="1">IFERROR(__xludf.DUMMYFUNCTION("""COMPUTED_VALUE"""),"nal@lokalbolig.dk")</f>
        <v>nal@lokalbolig.dk</v>
      </c>
      <c r="H12" s="14" t="str">
        <f ca="1">IFERROR(__xludf.DUMMYFUNCTION("""COMPUTED_VALUE"""),"31 31 85 13")</f>
        <v>31 31 85 13</v>
      </c>
      <c r="I12" s="14" t="str">
        <f ca="1">IFERROR(__xludf.DUMMYFUNCTION("""COMPUTED_VALUE"""),"Herlev Hovedgade 240")</f>
        <v>Herlev Hovedgade 240</v>
      </c>
      <c r="J12" s="14">
        <f ca="1">IFERROR(__xludf.DUMMYFUNCTION("""COMPUTED_VALUE"""),2730)</f>
        <v>2730</v>
      </c>
      <c r="K12" s="14" t="str">
        <f ca="1">IFERROR(__xludf.DUMMYFUNCTION("""COMPUTED_VALUE"""),"Herlev")</f>
        <v>Herlev</v>
      </c>
      <c r="L12" s="14" t="str">
        <f ca="1">IFERROR(__xludf.DUMMYFUNCTION("""COMPUTED_VALUE"""),"Herlev")</f>
        <v>Herlev</v>
      </c>
      <c r="M12" s="14" t="str">
        <f ca="1">IFERROR(__xludf.DUMMYFUNCTION("""COMPUTED_VALUE"""),"Københavns omegn")</f>
        <v>Københavns omegn</v>
      </c>
      <c r="N12" s="14" t="str">
        <f ca="1">IFERROR(__xludf.DUMMYFUNCTION("""COMPUTED_VALUE"""),"Hovedstaden")</f>
        <v>Hovedstaden</v>
      </c>
      <c r="O12" s="14" t="str">
        <f ca="1">IFERROR(__xludf.DUMMYFUNCTION("""COMPUTED_VALUE"""),"44 88 03 03")</f>
        <v>44 88 03 03</v>
      </c>
      <c r="P12" s="14" t="str">
        <f ca="1">IFERROR(__xludf.DUMMYFUNCTION("""COMPUTED_VALUE"""),"herlev@lokalbolig.dk")</f>
        <v>herlev@lokalbolig.dk</v>
      </c>
      <c r="Q12" s="15" t="str">
        <f ca="1">IFERROR(__xludf.DUMMYFUNCTION("""COMPUTED_VALUE"""),"https://www.boliga.dk/maegler/19303")</f>
        <v>https://www.boliga.dk/maegler/19303</v>
      </c>
      <c r="R12" s="14" t="str">
        <f ca="1">IFERROR(__xludf.DUMMYFUNCTION("""COMPUTED_VALUE"""),"-")</f>
        <v>-</v>
      </c>
      <c r="S12" s="14" t="str">
        <f ca="1">IFERROR(__xludf.DUMMYFUNCTION("""COMPUTED_VALUE"""),"-")</f>
        <v>-</v>
      </c>
      <c r="T12" s="14" t="str">
        <f ca="1">IFERROR(__xludf.DUMMYFUNCTION("""COMPUTED_VALUE"""),"-")</f>
        <v>-</v>
      </c>
      <c r="U12" s="14">
        <f ca="1">IFERROR(__xludf.DUMMYFUNCTION("""COMPUTED_VALUE"""),8)</f>
        <v>8</v>
      </c>
      <c r="V12" s="14" t="str">
        <f ca="1">IFERROR(__xludf.DUMMYFUNCTION("""COMPUTED_VALUE"""),"2740, 2730, 2750")</f>
        <v>2740, 2730, 2750</v>
      </c>
      <c r="W12" s="14">
        <f ca="1">IFERROR(__xludf.DUMMYFUNCTION("""COMPUTED_VALUE"""),18)</f>
        <v>18</v>
      </c>
      <c r="X12" s="14" t="str">
        <f ca="1">IFERROR(__xludf.DUMMYFUNCTION("""COMPUTED_VALUE"""),"2730, 2740, 2750")</f>
        <v>2730, 2740, 2750</v>
      </c>
      <c r="Y12" s="14" t="str">
        <f ca="1">IFERROR(__xludf.DUMMYFUNCTION("""COMPUTED_VALUE"""),"ja")</f>
        <v>ja</v>
      </c>
      <c r="Z12" s="14"/>
      <c r="AA12" s="14"/>
      <c r="AB12" s="14" t="str">
        <f ca="1">IFERROR(__xludf.DUMMYFUNCTION("""COMPUTED_VALUE"""),"x")</f>
        <v>x</v>
      </c>
      <c r="AC12" s="14" t="str">
        <f ca="1">IFERROR(__xludf.DUMMYFUNCTION("""COMPUTED_VALUE"""),"x")</f>
        <v>x</v>
      </c>
    </row>
    <row r="13" spans="1:30" ht="15.75" customHeight="1" x14ac:dyDescent="0.25">
      <c r="A13" s="14" t="str">
        <f ca="1">IFERROR(__xludf.DUMMYFUNCTION("""COMPUTED_VALUE"""),"Camilla")</f>
        <v>Camilla</v>
      </c>
      <c r="B13" s="14" t="str">
        <f ca="1">IFERROR(__xludf.DUMMYFUNCTION("""COMPUTED_VALUE"""),"LokalBolig Glostrup/Vallensbæk ApS")</f>
        <v>LokalBolig Glostrup/Vallensbæk ApS</v>
      </c>
      <c r="C13" s="14">
        <f ca="1">IFERROR(__xludf.DUMMYFUNCTION("""COMPUTED_VALUE"""),35207163)</f>
        <v>35207163</v>
      </c>
      <c r="D13" s="14" t="str">
        <f ca="1">IFERROR(__xludf.DUMMYFUNCTION("""COMPUTED_VALUE"""),"MG-SJ: 3.499,-")</f>
        <v>MG-SJ: 3.499,-</v>
      </c>
      <c r="E13" s="14">
        <f ca="1">IFERROR(__xludf.DUMMYFUNCTION("""COMPUTED_VALUE"""),1202)</f>
        <v>1202</v>
      </c>
      <c r="F13" s="14" t="str">
        <f ca="1">IFERROR(__xludf.DUMMYFUNCTION("""COMPUTED_VALUE"""),"Ken Heidemann")</f>
        <v>Ken Heidemann</v>
      </c>
      <c r="G13" s="15" t="str">
        <f ca="1">IFERROR(__xludf.DUMMYFUNCTION("""COMPUTED_VALUE"""),"khp@lokalbolig.dk")</f>
        <v>khp@lokalbolig.dk</v>
      </c>
      <c r="H13" s="14" t="str">
        <f ca="1">IFERROR(__xludf.DUMMYFUNCTION("""COMPUTED_VALUE"""),"43 90 26 00")</f>
        <v>43 90 26 00</v>
      </c>
      <c r="I13" s="14" t="str">
        <f ca="1">IFERROR(__xludf.DUMMYFUNCTION("""COMPUTED_VALUE"""),"Hovedvejen 78")</f>
        <v>Hovedvejen 78</v>
      </c>
      <c r="J13" s="14">
        <f ca="1">IFERROR(__xludf.DUMMYFUNCTION("""COMPUTED_VALUE"""),2600)</f>
        <v>2600</v>
      </c>
      <c r="K13" s="14" t="str">
        <f ca="1">IFERROR(__xludf.DUMMYFUNCTION("""COMPUTED_VALUE"""),"Glostrup")</f>
        <v>Glostrup</v>
      </c>
      <c r="L13" s="14" t="str">
        <f ca="1">IFERROR(__xludf.DUMMYFUNCTION("""COMPUTED_VALUE"""),"Glostrup")</f>
        <v>Glostrup</v>
      </c>
      <c r="M13" s="14" t="str">
        <f ca="1">IFERROR(__xludf.DUMMYFUNCTION("""COMPUTED_VALUE"""),"Københavns omegn")</f>
        <v>Københavns omegn</v>
      </c>
      <c r="N13" s="14" t="str">
        <f ca="1">IFERROR(__xludf.DUMMYFUNCTION("""COMPUTED_VALUE"""),"Hovedstaden")</f>
        <v>Hovedstaden</v>
      </c>
      <c r="O13" s="14">
        <f ca="1">IFERROR(__xludf.DUMMYFUNCTION("""COMPUTED_VALUE"""),43902600)</f>
        <v>43902600</v>
      </c>
      <c r="P13" s="14" t="str">
        <f ca="1">IFERROR(__xludf.DUMMYFUNCTION("""COMPUTED_VALUE"""),"glostrup@lokalbolig.dk")</f>
        <v>glostrup@lokalbolig.dk</v>
      </c>
      <c r="Q13" s="15" t="str">
        <f ca="1">IFERROR(__xludf.DUMMYFUNCTION("""COMPUTED_VALUE"""),"https://www.boliga.dk/maegler/25215")</f>
        <v>https://www.boliga.dk/maegler/25215</v>
      </c>
      <c r="R13" s="14" t="str">
        <f ca="1">IFERROR(__xludf.DUMMYFUNCTION("""COMPUTED_VALUE"""),"-")</f>
        <v>-</v>
      </c>
      <c r="S13" s="14" t="str">
        <f ca="1">IFERROR(__xludf.DUMMYFUNCTION("""COMPUTED_VALUE"""),"-")</f>
        <v>-</v>
      </c>
      <c r="T13" s="14" t="str">
        <f ca="1">IFERROR(__xludf.DUMMYFUNCTION("""COMPUTED_VALUE"""),"-")</f>
        <v>-</v>
      </c>
      <c r="U13" s="14">
        <f ca="1">IFERROR(__xludf.DUMMYFUNCTION("""COMPUTED_VALUE"""),8)</f>
        <v>8</v>
      </c>
      <c r="V13" s="14" t="str">
        <f ca="1">IFERROR(__xludf.DUMMYFUNCTION("""COMPUTED_VALUE"""),"2620, 2600, 2625")</f>
        <v>2620, 2600, 2625</v>
      </c>
      <c r="W13" s="14">
        <f ca="1">IFERROR(__xludf.DUMMYFUNCTION("""COMPUTED_VALUE"""),12)</f>
        <v>12</v>
      </c>
      <c r="X13" s="14" t="str">
        <f ca="1">IFERROR(__xludf.DUMMYFUNCTION("""COMPUTED_VALUE"""),"2600, 2620, 2665, 2605")</f>
        <v>2600, 2620, 2665, 2605</v>
      </c>
      <c r="Y13" s="14" t="str">
        <f ca="1">IFERROR(__xludf.DUMMYFUNCTION("""COMPUTED_VALUE"""),"ja")</f>
        <v>ja</v>
      </c>
      <c r="Z13" s="14"/>
      <c r="AA13" s="14"/>
      <c r="AB13" s="14" t="str">
        <f ca="1">IFERROR(__xludf.DUMMYFUNCTION("""COMPUTED_VALUE"""),"x")</f>
        <v>x</v>
      </c>
      <c r="AC13" s="14" t="str">
        <f ca="1">IFERROR(__xludf.DUMMYFUNCTION("""COMPUTED_VALUE"""),"x")</f>
        <v>x</v>
      </c>
    </row>
    <row r="14" spans="1:30" ht="15.75" customHeight="1" x14ac:dyDescent="0.25">
      <c r="A14" s="14" t="str">
        <f ca="1">IFERROR(__xludf.DUMMYFUNCTION("""COMPUTED_VALUE"""),"Camilla")</f>
        <v>Camilla</v>
      </c>
      <c r="B14" s="14" t="str">
        <f ca="1">IFERROR(__xludf.DUMMYFUNCTION("""COMPUTED_VALUE"""),"LokalBolig Hvidovre ApS")</f>
        <v>LokalBolig Hvidovre ApS</v>
      </c>
      <c r="C14" s="14">
        <f ca="1">IFERROR(__xludf.DUMMYFUNCTION("""COMPUTED_VALUE"""),32564925)</f>
        <v>32564925</v>
      </c>
      <c r="D14" s="14" t="str">
        <f ca="1">IFERROR(__xludf.DUMMYFUNCTION("""COMPUTED_VALUE"""),"MG-SJ: 3.499,-")</f>
        <v>MG-SJ: 3.499,-</v>
      </c>
      <c r="E14" s="14">
        <f ca="1">IFERROR(__xludf.DUMMYFUNCTION("""COMPUTED_VALUE"""),1202)</f>
        <v>1202</v>
      </c>
      <c r="F14" s="14" t="str">
        <f ca="1">IFERROR(__xludf.DUMMYFUNCTION("""COMPUTED_VALUE"""),"Jesper Strøm")</f>
        <v>Jesper Strøm</v>
      </c>
      <c r="G14" s="14" t="str">
        <f ca="1">IFERROR(__xludf.DUMMYFUNCTION("""COMPUTED_VALUE"""),"js@lokalbolig.dk")</f>
        <v>js@lokalbolig.dk</v>
      </c>
      <c r="H14" s="14" t="str">
        <f ca="1">IFERROR(__xludf.DUMMYFUNCTION("""COMPUTED_VALUE"""),"40 17 70 40")</f>
        <v>40 17 70 40</v>
      </c>
      <c r="I14" s="14" t="str">
        <f ca="1">IFERROR(__xludf.DUMMYFUNCTION("""COMPUTED_VALUE"""),"Hvidovrevej 103")</f>
        <v>Hvidovrevej 103</v>
      </c>
      <c r="J14" s="14">
        <f ca="1">IFERROR(__xludf.DUMMYFUNCTION("""COMPUTED_VALUE"""),2650)</f>
        <v>2650</v>
      </c>
      <c r="K14" s="14" t="str">
        <f ca="1">IFERROR(__xludf.DUMMYFUNCTION("""COMPUTED_VALUE"""),"Hvidovre")</f>
        <v>Hvidovre</v>
      </c>
      <c r="L14" s="14" t="str">
        <f ca="1">IFERROR(__xludf.DUMMYFUNCTION("""COMPUTED_VALUE"""),"Hvidovre")</f>
        <v>Hvidovre</v>
      </c>
      <c r="M14" s="14" t="str">
        <f ca="1">IFERROR(__xludf.DUMMYFUNCTION("""COMPUTED_VALUE"""),"Københavns omegn")</f>
        <v>Københavns omegn</v>
      </c>
      <c r="N14" s="14" t="str">
        <f ca="1">IFERROR(__xludf.DUMMYFUNCTION("""COMPUTED_VALUE"""),"Hovedstaden")</f>
        <v>Hovedstaden</v>
      </c>
      <c r="O14" s="14" t="str">
        <f ca="1">IFERROR(__xludf.DUMMYFUNCTION("""COMPUTED_VALUE"""),"36 48 15 55")</f>
        <v>36 48 15 55</v>
      </c>
      <c r="P14" s="14" t="str">
        <f ca="1">IFERROR(__xludf.DUMMYFUNCTION("""COMPUTED_VALUE"""),"hvidovre@lokalbolig.dk")</f>
        <v>hvidovre@lokalbolig.dk</v>
      </c>
      <c r="Q14" s="15" t="str">
        <f ca="1">IFERROR(__xludf.DUMMYFUNCTION("""COMPUTED_VALUE"""),"https://www.boliga.dk/maegler/19245")</f>
        <v>https://www.boliga.dk/maegler/19245</v>
      </c>
      <c r="R14" s="14" t="str">
        <f ca="1">IFERROR(__xludf.DUMMYFUNCTION("""COMPUTED_VALUE"""),"-")</f>
        <v>-</v>
      </c>
      <c r="S14" s="14" t="str">
        <f ca="1">IFERROR(__xludf.DUMMYFUNCTION("""COMPUTED_VALUE"""),"-")</f>
        <v>-</v>
      </c>
      <c r="T14" s="14" t="str">
        <f ca="1">IFERROR(__xludf.DUMMYFUNCTION("""COMPUTED_VALUE"""),"-")</f>
        <v>-</v>
      </c>
      <c r="U14" s="14">
        <f ca="1">IFERROR(__xludf.DUMMYFUNCTION("""COMPUTED_VALUE"""),11)</f>
        <v>11</v>
      </c>
      <c r="V14" s="14">
        <f ca="1">IFERROR(__xludf.DUMMYFUNCTION("""COMPUTED_VALUE"""),2650)</f>
        <v>2650</v>
      </c>
      <c r="W14" s="14">
        <f ca="1">IFERROR(__xludf.DUMMYFUNCTION("""COMPUTED_VALUE"""),33)</f>
        <v>33</v>
      </c>
      <c r="X14" s="14">
        <f ca="1">IFERROR(__xludf.DUMMYFUNCTION("""COMPUTED_VALUE"""),2650)</f>
        <v>2650</v>
      </c>
      <c r="Y14" s="14" t="str">
        <f ca="1">IFERROR(__xludf.DUMMYFUNCTION("""COMPUTED_VALUE"""),"ja")</f>
        <v>ja</v>
      </c>
      <c r="Z14" s="14"/>
      <c r="AA14" s="14"/>
      <c r="AB14" s="14" t="str">
        <f ca="1">IFERROR(__xludf.DUMMYFUNCTION("""COMPUTED_VALUE"""),"x")</f>
        <v>x</v>
      </c>
      <c r="AC14" s="14" t="str">
        <f ca="1">IFERROR(__xludf.DUMMYFUNCTION("""COMPUTED_VALUE"""),"x")</f>
        <v>x</v>
      </c>
    </row>
    <row r="15" spans="1:30" ht="15.75" customHeight="1" x14ac:dyDescent="0.25">
      <c r="A15" s="14" t="str">
        <f ca="1">IFERROR(__xludf.DUMMYFUNCTION("""COMPUTED_VALUE"""),"Camilla")</f>
        <v>Camilla</v>
      </c>
      <c r="B15" s="14" t="str">
        <f ca="1">IFERROR(__xludf.DUMMYFUNCTION("""COMPUTED_VALUE"""),"LokalBolig Lyngby/Virum ApS")</f>
        <v>LokalBolig Lyngby/Virum ApS</v>
      </c>
      <c r="C15" s="14">
        <f ca="1">IFERROR(__xludf.DUMMYFUNCTION("""COMPUTED_VALUE"""),32651704)</f>
        <v>32651704</v>
      </c>
      <c r="D15" s="14" t="str">
        <f ca="1">IFERROR(__xludf.DUMMYFUNCTION("""COMPUTED_VALUE"""),"MG-SJ: 3.499,-")</f>
        <v>MG-SJ: 3.499,-</v>
      </c>
      <c r="E15" s="14">
        <f ca="1">IFERROR(__xludf.DUMMYFUNCTION("""COMPUTED_VALUE"""),1202)</f>
        <v>1202</v>
      </c>
      <c r="F15" s="14" t="str">
        <f ca="1">IFERROR(__xludf.DUMMYFUNCTION("""COMPUTED_VALUE"""),"Jesper Strøm")</f>
        <v>Jesper Strøm</v>
      </c>
      <c r="G15" s="14" t="str">
        <f ca="1">IFERROR(__xludf.DUMMYFUNCTION("""COMPUTED_VALUE"""),"js@lokalbolig.dk")</f>
        <v>js@lokalbolig.dk</v>
      </c>
      <c r="H15" s="14" t="str">
        <f ca="1">IFERROR(__xludf.DUMMYFUNCTION("""COMPUTED_VALUE"""),"40 17 70 40")</f>
        <v>40 17 70 40</v>
      </c>
      <c r="I15" s="14" t="str">
        <f ca="1">IFERROR(__xludf.DUMMYFUNCTION("""COMPUTED_VALUE"""),"Engelsborgvej 48")</f>
        <v>Engelsborgvej 48</v>
      </c>
      <c r="J15" s="14">
        <f ca="1">IFERROR(__xludf.DUMMYFUNCTION("""COMPUTED_VALUE"""),2800)</f>
        <v>2800</v>
      </c>
      <c r="K15" s="14" t="str">
        <f ca="1">IFERROR(__xludf.DUMMYFUNCTION("""COMPUTED_VALUE"""),"Lyngby")</f>
        <v>Lyngby</v>
      </c>
      <c r="L15" s="14" t="str">
        <f ca="1">IFERROR(__xludf.DUMMYFUNCTION("""COMPUTED_VALUE"""),"Lyngby-Taarbæk")</f>
        <v>Lyngby-Taarbæk</v>
      </c>
      <c r="M15" s="14" t="str">
        <f ca="1">IFERROR(__xludf.DUMMYFUNCTION("""COMPUTED_VALUE"""),"Københavns omegn")</f>
        <v>Københavns omegn</v>
      </c>
      <c r="N15" s="14" t="str">
        <f ca="1">IFERROR(__xludf.DUMMYFUNCTION("""COMPUTED_VALUE"""),"Hovedstaden")</f>
        <v>Hovedstaden</v>
      </c>
      <c r="O15" s="14" t="str">
        <f ca="1">IFERROR(__xludf.DUMMYFUNCTION("""COMPUTED_VALUE"""),"43 58 23 33")</f>
        <v>43 58 23 33</v>
      </c>
      <c r="P15" s="14" t="str">
        <f ca="1">IFERROR(__xludf.DUMMYFUNCTION("""COMPUTED_VALUE"""),"lyngby@lokalbolig.dk")</f>
        <v>lyngby@lokalbolig.dk</v>
      </c>
      <c r="Q15" s="15" t="str">
        <f ca="1">IFERROR(__xludf.DUMMYFUNCTION("""COMPUTED_VALUE"""),"https://www.boliga.dk/maegler/19251")</f>
        <v>https://www.boliga.dk/maegler/19251</v>
      </c>
      <c r="R15" s="14" t="str">
        <f ca="1">IFERROR(__xludf.DUMMYFUNCTION("""COMPUTED_VALUE"""),"-")</f>
        <v>-</v>
      </c>
      <c r="S15" s="14" t="str">
        <f ca="1">IFERROR(__xludf.DUMMYFUNCTION("""COMPUTED_VALUE"""),"-")</f>
        <v>-</v>
      </c>
      <c r="T15" s="14" t="str">
        <f ca="1">IFERROR(__xludf.DUMMYFUNCTION("""COMPUTED_VALUE"""),"-")</f>
        <v>-</v>
      </c>
      <c r="U15" s="14">
        <f ca="1">IFERROR(__xludf.DUMMYFUNCTION("""COMPUTED_VALUE"""),8)</f>
        <v>8</v>
      </c>
      <c r="V15" s="14">
        <f ca="1">IFERROR(__xludf.DUMMYFUNCTION("""COMPUTED_VALUE"""),2800)</f>
        <v>2800</v>
      </c>
      <c r="W15" s="14">
        <f ca="1">IFERROR(__xludf.DUMMYFUNCTION("""COMPUTED_VALUE"""),19)</f>
        <v>19</v>
      </c>
      <c r="X15" s="14" t="str">
        <f ca="1">IFERROR(__xludf.DUMMYFUNCTION("""COMPUTED_VALUE"""),"2800, 2830")</f>
        <v>2800, 2830</v>
      </c>
      <c r="Y15" s="14" t="str">
        <f ca="1">IFERROR(__xludf.DUMMYFUNCTION("""COMPUTED_VALUE"""),"ja")</f>
        <v>ja</v>
      </c>
      <c r="Z15" s="14"/>
      <c r="AA15" s="14"/>
      <c r="AB15" s="14" t="str">
        <f ca="1">IFERROR(__xludf.DUMMYFUNCTION("""COMPUTED_VALUE"""),"x")</f>
        <v>x</v>
      </c>
      <c r="AC15" s="14" t="str">
        <f ca="1">IFERROR(__xludf.DUMMYFUNCTION("""COMPUTED_VALUE"""),"x")</f>
        <v>x</v>
      </c>
    </row>
    <row r="16" spans="1:30" ht="15.75" customHeight="1" x14ac:dyDescent="0.25">
      <c r="A16" s="14" t="str">
        <f ca="1">IFERROR(__xludf.DUMMYFUNCTION("""COMPUTED_VALUE"""),"Camilla")</f>
        <v>Camilla</v>
      </c>
      <c r="B16" s="14" t="str">
        <f ca="1">IFERROR(__xludf.DUMMYFUNCTION("""COMPUTED_VALUE"""),"LokalBolig Rødovre ApS")</f>
        <v>LokalBolig Rødovre ApS</v>
      </c>
      <c r="C16" s="14">
        <f ca="1">IFERROR(__xludf.DUMMYFUNCTION("""COMPUTED_VALUE"""),33643225)</f>
        <v>33643225</v>
      </c>
      <c r="D16" s="14" t="str">
        <f ca="1">IFERROR(__xludf.DUMMYFUNCTION("""COMPUTED_VALUE"""),"MG-SJ: 3.499,-")</f>
        <v>MG-SJ: 3.499,-</v>
      </c>
      <c r="E16" s="14">
        <f ca="1">IFERROR(__xludf.DUMMYFUNCTION("""COMPUTED_VALUE"""),1202)</f>
        <v>1202</v>
      </c>
      <c r="F16" s="14" t="str">
        <f ca="1">IFERROR(__xludf.DUMMYFUNCTION("""COMPUTED_VALUE"""),"Jesper Strøm")</f>
        <v>Jesper Strøm</v>
      </c>
      <c r="G16" s="14" t="str">
        <f ca="1">IFERROR(__xludf.DUMMYFUNCTION("""COMPUTED_VALUE"""),"js@lokalbolig.dk")</f>
        <v>js@lokalbolig.dk</v>
      </c>
      <c r="H16" s="14" t="str">
        <f ca="1">IFERROR(__xludf.DUMMYFUNCTION("""COMPUTED_VALUE"""),"40 17 70 40")</f>
        <v>40 17 70 40</v>
      </c>
      <c r="I16" s="14" t="str">
        <f ca="1">IFERROR(__xludf.DUMMYFUNCTION("""COMPUTED_VALUE"""),"Jyllingevej 171")</f>
        <v>Jyllingevej 171</v>
      </c>
      <c r="J16" s="14">
        <f ca="1">IFERROR(__xludf.DUMMYFUNCTION("""COMPUTED_VALUE"""),2610)</f>
        <v>2610</v>
      </c>
      <c r="K16" s="14" t="str">
        <f ca="1">IFERROR(__xludf.DUMMYFUNCTION("""COMPUTED_VALUE"""),"Rødovre")</f>
        <v>Rødovre</v>
      </c>
      <c r="L16" s="14" t="str">
        <f ca="1">IFERROR(__xludf.DUMMYFUNCTION("""COMPUTED_VALUE"""),"Rødovre")</f>
        <v>Rødovre</v>
      </c>
      <c r="M16" s="14" t="str">
        <f ca="1">IFERROR(__xludf.DUMMYFUNCTION("""COMPUTED_VALUE"""),"Københavns omegn")</f>
        <v>Københavns omegn</v>
      </c>
      <c r="N16" s="14" t="str">
        <f ca="1">IFERROR(__xludf.DUMMYFUNCTION("""COMPUTED_VALUE"""),"Hovedstaden")</f>
        <v>Hovedstaden</v>
      </c>
      <c r="O16" s="14" t="str">
        <f ca="1">IFERROR(__xludf.DUMMYFUNCTION("""COMPUTED_VALUE"""),"36 44 15 55")</f>
        <v>36 44 15 55</v>
      </c>
      <c r="P16" s="14" t="str">
        <f ca="1">IFERROR(__xludf.DUMMYFUNCTION("""COMPUTED_VALUE"""),"roedovre@lokalbolig.dk")</f>
        <v>roedovre@lokalbolig.dk</v>
      </c>
      <c r="Q16" s="15" t="str">
        <f ca="1">IFERROR(__xludf.DUMMYFUNCTION("""COMPUTED_VALUE"""),"https://www.boliga.dk/maegler/19255")</f>
        <v>https://www.boliga.dk/maegler/19255</v>
      </c>
      <c r="R16" s="14" t="str">
        <f ca="1">IFERROR(__xludf.DUMMYFUNCTION("""COMPUTED_VALUE"""),"-")</f>
        <v>-</v>
      </c>
      <c r="S16" s="14" t="str">
        <f ca="1">IFERROR(__xludf.DUMMYFUNCTION("""COMPUTED_VALUE"""),"-")</f>
        <v>-</v>
      </c>
      <c r="T16" s="14" t="str">
        <f ca="1">IFERROR(__xludf.DUMMYFUNCTION("""COMPUTED_VALUE"""),"-")</f>
        <v>-</v>
      </c>
      <c r="U16" s="14">
        <f ca="1">IFERROR(__xludf.DUMMYFUNCTION("""COMPUTED_VALUE"""),3)</f>
        <v>3</v>
      </c>
      <c r="V16" s="14">
        <f ca="1">IFERROR(__xludf.DUMMYFUNCTION("""COMPUTED_VALUE"""),2610)</f>
        <v>2610</v>
      </c>
      <c r="W16" s="14">
        <f ca="1">IFERROR(__xludf.DUMMYFUNCTION("""COMPUTED_VALUE"""),22)</f>
        <v>22</v>
      </c>
      <c r="X16" s="14">
        <f ca="1">IFERROR(__xludf.DUMMYFUNCTION("""COMPUTED_VALUE"""),2610)</f>
        <v>2610</v>
      </c>
      <c r="Y16" s="14" t="str">
        <f ca="1">IFERROR(__xludf.DUMMYFUNCTION("""COMPUTED_VALUE"""),"ja")</f>
        <v>ja</v>
      </c>
      <c r="Z16" s="14"/>
      <c r="AA16" s="14"/>
      <c r="AB16" s="14" t="str">
        <f ca="1">IFERROR(__xludf.DUMMYFUNCTION("""COMPUTED_VALUE"""),"x")</f>
        <v>x</v>
      </c>
      <c r="AC16" s="14" t="str">
        <f ca="1">IFERROR(__xludf.DUMMYFUNCTION("""COMPUTED_VALUE"""),"x")</f>
        <v>x</v>
      </c>
    </row>
    <row r="17" spans="1:29" ht="15.75" customHeight="1" x14ac:dyDescent="0.25">
      <c r="A17" s="14" t="str">
        <f ca="1">IFERROR(__xludf.DUMMYFUNCTION("""COMPUTED_VALUE"""),"Camilla")</f>
        <v>Camilla</v>
      </c>
      <c r="B17" s="14" t="str">
        <f ca="1">IFERROR(__xludf.DUMMYFUNCTION("""COMPUTED_VALUE"""),"LokalBolig Søborg og Bagsværd ApS")</f>
        <v>LokalBolig Søborg og Bagsværd ApS</v>
      </c>
      <c r="C17" s="14">
        <f ca="1">IFERROR(__xludf.DUMMYFUNCTION("""COMPUTED_VALUE"""),38529501)</f>
        <v>38529501</v>
      </c>
      <c r="D17" s="14" t="str">
        <f ca="1">IFERROR(__xludf.DUMMYFUNCTION("""COMPUTED_VALUE"""),"MG-SJ: 3.499,-")</f>
        <v>MG-SJ: 3.499,-</v>
      </c>
      <c r="E17" s="14">
        <f ca="1">IFERROR(__xludf.DUMMYFUNCTION("""COMPUTED_VALUE"""),1202)</f>
        <v>1202</v>
      </c>
      <c r="F17" s="14" t="str">
        <f ca="1">IFERROR(__xludf.DUMMYFUNCTION("""COMPUTED_VALUE"""),"Nicki Albek")</f>
        <v>Nicki Albek</v>
      </c>
      <c r="G17" s="14" t="str">
        <f ca="1">IFERROR(__xludf.DUMMYFUNCTION("""COMPUTED_VALUE"""),"nal@lokalbolig.dk")</f>
        <v>nal@lokalbolig.dk</v>
      </c>
      <c r="H17" s="14" t="str">
        <f ca="1">IFERROR(__xludf.DUMMYFUNCTION("""COMPUTED_VALUE"""),"31 31 85 13")</f>
        <v>31 31 85 13</v>
      </c>
      <c r="I17" s="14" t="str">
        <f ca="1">IFERROR(__xludf.DUMMYFUNCTION("""COMPUTED_VALUE"""),"Søborg Hovedgade 14")</f>
        <v>Søborg Hovedgade 14</v>
      </c>
      <c r="J17" s="14">
        <f ca="1">IFERROR(__xludf.DUMMYFUNCTION("""COMPUTED_VALUE"""),2870)</f>
        <v>2870</v>
      </c>
      <c r="K17" s="14" t="str">
        <f ca="1">IFERROR(__xludf.DUMMYFUNCTION("""COMPUTED_VALUE"""),"Dyssegård")</f>
        <v>Dyssegård</v>
      </c>
      <c r="L17" s="14" t="str">
        <f ca="1">IFERROR(__xludf.DUMMYFUNCTION("""COMPUTED_VALUE"""),"Gentofte")</f>
        <v>Gentofte</v>
      </c>
      <c r="M17" s="14" t="str">
        <f ca="1">IFERROR(__xludf.DUMMYFUNCTION("""COMPUTED_VALUE"""),"Københavns omegn")</f>
        <v>Københavns omegn</v>
      </c>
      <c r="N17" s="14" t="str">
        <f ca="1">IFERROR(__xludf.DUMMYFUNCTION("""COMPUTED_VALUE"""),"Hovedstaden")</f>
        <v>Hovedstaden</v>
      </c>
      <c r="O17" s="14" t="str">
        <f ca="1">IFERROR(__xludf.DUMMYFUNCTION("""COMPUTED_VALUE"""),"39 30 93 10")</f>
        <v>39 30 93 10</v>
      </c>
      <c r="P17" s="14" t="str">
        <f ca="1">IFERROR(__xludf.DUMMYFUNCTION("""COMPUTED_VALUE"""),"gladsaxe@lokalbolig.dk")</f>
        <v>gladsaxe@lokalbolig.dk</v>
      </c>
      <c r="Q17" s="15" t="str">
        <f ca="1">IFERROR(__xludf.DUMMYFUNCTION("""COMPUTED_VALUE"""),"https://www.boliga.dk/maegler/19236")</f>
        <v>https://www.boliga.dk/maegler/19236</v>
      </c>
      <c r="R17" s="14" t="str">
        <f ca="1">IFERROR(__xludf.DUMMYFUNCTION("""COMPUTED_VALUE"""),"-")</f>
        <v>-</v>
      </c>
      <c r="S17" s="14" t="str">
        <f ca="1">IFERROR(__xludf.DUMMYFUNCTION("""COMPUTED_VALUE"""),"-")</f>
        <v>-</v>
      </c>
      <c r="T17" s="14" t="str">
        <f ca="1">IFERROR(__xludf.DUMMYFUNCTION("""COMPUTED_VALUE"""),"-")</f>
        <v>-</v>
      </c>
      <c r="U17" s="14">
        <f ca="1">IFERROR(__xludf.DUMMYFUNCTION("""COMPUTED_VALUE"""),12)</f>
        <v>12</v>
      </c>
      <c r="V17" s="14" t="str">
        <f ca="1">IFERROR(__xludf.DUMMYFUNCTION("""COMPUTED_VALUE"""),"2860, 2870, 2880")</f>
        <v>2860, 2870, 2880</v>
      </c>
      <c r="W17" s="14">
        <f ca="1">IFERROR(__xludf.DUMMYFUNCTION("""COMPUTED_VALUE"""),29)</f>
        <v>29</v>
      </c>
      <c r="X17" s="14" t="str">
        <f ca="1">IFERROR(__xludf.DUMMYFUNCTION("""COMPUTED_VALUE"""),"2860, 2870, 2880")</f>
        <v>2860, 2870, 2880</v>
      </c>
      <c r="Y17" s="14" t="str">
        <f ca="1">IFERROR(__xludf.DUMMYFUNCTION("""COMPUTED_VALUE"""),"ja")</f>
        <v>ja</v>
      </c>
      <c r="Z17" s="14"/>
      <c r="AA17" s="14"/>
      <c r="AB17" s="14" t="str">
        <f ca="1">IFERROR(__xludf.DUMMYFUNCTION("""COMPUTED_VALUE"""),"x")</f>
        <v>x</v>
      </c>
      <c r="AC17" s="14" t="str">
        <f ca="1">IFERROR(__xludf.DUMMYFUNCTION("""COMPUTED_VALUE"""),"x")</f>
        <v>x</v>
      </c>
    </row>
    <row r="18" spans="1:29" ht="15.75" customHeight="1" x14ac:dyDescent="0.25">
      <c r="A18" s="14" t="str">
        <f ca="1">IFERROR(__xludf.DUMMYFUNCTION("""COMPUTED_VALUE"""),"Camilla")</f>
        <v>Camilla</v>
      </c>
      <c r="B18" s="14" t="str">
        <f ca="1">IFERROR(__xludf.DUMMYFUNCTION("""COMPUTED_VALUE"""),"LokalBolig Taastrup ApS")</f>
        <v>LokalBolig Taastrup ApS</v>
      </c>
      <c r="C18" s="14">
        <f ca="1">IFERROR(__xludf.DUMMYFUNCTION("""COMPUTED_VALUE"""),39052474)</f>
        <v>39052474</v>
      </c>
      <c r="D18" s="14" t="str">
        <f ca="1">IFERROR(__xludf.DUMMYFUNCTION("""COMPUTED_VALUE"""),"MG-SJ: 3.499,-")</f>
        <v>MG-SJ: 3.499,-</v>
      </c>
      <c r="E18" s="14">
        <f ca="1">IFERROR(__xludf.DUMMYFUNCTION("""COMPUTED_VALUE"""),1202)</f>
        <v>1202</v>
      </c>
      <c r="F18" s="14" t="str">
        <f ca="1">IFERROR(__xludf.DUMMYFUNCTION("""COMPUTED_VALUE"""),"Remi Cuber")</f>
        <v>Remi Cuber</v>
      </c>
      <c r="G18" s="14" t="str">
        <f ca="1">IFERROR(__xludf.DUMMYFUNCTION("""COMPUTED_VALUE"""),"rc@lokalbolig.dk")</f>
        <v>rc@lokalbolig.dk</v>
      </c>
      <c r="H18" s="14" t="str">
        <f ca="1">IFERROR(__xludf.DUMMYFUNCTION("""COMPUTED_VALUE"""),"28 91 31 00")</f>
        <v>28 91 31 00</v>
      </c>
      <c r="I18" s="14" t="str">
        <f ca="1">IFERROR(__xludf.DUMMYFUNCTION("""COMPUTED_VALUE"""),"Taastrup Hovedgade 107")</f>
        <v>Taastrup Hovedgade 107</v>
      </c>
      <c r="J18" s="14">
        <f ca="1">IFERROR(__xludf.DUMMYFUNCTION("""COMPUTED_VALUE"""),2630)</f>
        <v>2630</v>
      </c>
      <c r="K18" s="14" t="str">
        <f ca="1">IFERROR(__xludf.DUMMYFUNCTION("""COMPUTED_VALUE"""),"Taastrup")</f>
        <v>Taastrup</v>
      </c>
      <c r="L18" s="14" t="str">
        <f ca="1">IFERROR(__xludf.DUMMYFUNCTION("""COMPUTED_VALUE"""),"Høje-Taastrup")</f>
        <v>Høje-Taastrup</v>
      </c>
      <c r="M18" s="14" t="str">
        <f ca="1">IFERROR(__xludf.DUMMYFUNCTION("""COMPUTED_VALUE"""),"Københavns omegn")</f>
        <v>Københavns omegn</v>
      </c>
      <c r="N18" s="14" t="str">
        <f ca="1">IFERROR(__xludf.DUMMYFUNCTION("""COMPUTED_VALUE"""),"Hovedstaden")</f>
        <v>Hovedstaden</v>
      </c>
      <c r="O18" s="14" t="str">
        <f ca="1">IFERROR(__xludf.DUMMYFUNCTION("""COMPUTED_VALUE"""),"4399 9996")</f>
        <v>4399 9996</v>
      </c>
      <c r="P18" s="14" t="str">
        <f ca="1">IFERROR(__xludf.DUMMYFUNCTION("""COMPUTED_VALUE"""),"taastrup@lokalbolig.dk")</f>
        <v>taastrup@lokalbolig.dk</v>
      </c>
      <c r="Q18" s="15" t="str">
        <f ca="1">IFERROR(__xludf.DUMMYFUNCTION("""COMPUTED_VALUE"""),"https://www.boliga.dk/maegler/19242")</f>
        <v>https://www.boliga.dk/maegler/19242</v>
      </c>
      <c r="R18" s="14" t="str">
        <f ca="1">IFERROR(__xludf.DUMMYFUNCTION("""COMPUTED_VALUE"""),"-")</f>
        <v>-</v>
      </c>
      <c r="S18" s="14" t="str">
        <f ca="1">IFERROR(__xludf.DUMMYFUNCTION("""COMPUTED_VALUE"""),"-")</f>
        <v>-</v>
      </c>
      <c r="T18" s="14" t="str">
        <f ca="1">IFERROR(__xludf.DUMMYFUNCTION("""COMPUTED_VALUE"""),"-")</f>
        <v>-</v>
      </c>
      <c r="U18" s="14">
        <f ca="1">IFERROR(__xludf.DUMMYFUNCTION("""COMPUTED_VALUE"""),24)</f>
        <v>24</v>
      </c>
      <c r="V18" s="14" t="str">
        <f ca="1">IFERROR(__xludf.DUMMYFUNCTION("""COMPUTED_VALUE"""),"2635, 2630, 2640")</f>
        <v>2635, 2630, 2640</v>
      </c>
      <c r="W18" s="14">
        <f ca="1">IFERROR(__xludf.DUMMYFUNCTION("""COMPUTED_VALUE"""),36)</f>
        <v>36</v>
      </c>
      <c r="X18" s="14" t="str">
        <f ca="1">IFERROR(__xludf.DUMMYFUNCTION("""COMPUTED_VALUE"""),"2640, 2630")</f>
        <v>2640, 2630</v>
      </c>
      <c r="Y18" s="14" t="str">
        <f ca="1">IFERROR(__xludf.DUMMYFUNCTION("""COMPUTED_VALUE"""),"ja")</f>
        <v>ja</v>
      </c>
      <c r="Z18" s="14"/>
      <c r="AA18" s="14"/>
      <c r="AB18" s="14" t="str">
        <f ca="1">IFERROR(__xludf.DUMMYFUNCTION("""COMPUTED_VALUE"""),"x")</f>
        <v>x</v>
      </c>
      <c r="AC18" s="14" t="str">
        <f ca="1">IFERROR(__xludf.DUMMYFUNCTION("""COMPUTED_VALUE"""),"x")</f>
        <v>x</v>
      </c>
    </row>
    <row r="19" spans="1:29" ht="12.5" x14ac:dyDescent="0.25">
      <c r="A19" s="14" t="str">
        <f ca="1">IFERROR(__xludf.DUMMYFUNCTION("""COMPUTED_VALUE"""),"Camilla")</f>
        <v>Camilla</v>
      </c>
      <c r="B19" s="14" t="str">
        <f ca="1">IFERROR(__xludf.DUMMYFUNCTION("""COMPUTED_VALUE"""),"LokalBolig Allerød ApS")</f>
        <v>LokalBolig Allerød ApS</v>
      </c>
      <c r="C19" s="14">
        <f ca="1">IFERROR(__xludf.DUMMYFUNCTION("""COMPUTED_VALUE"""),29600139)</f>
        <v>29600139</v>
      </c>
      <c r="D19" s="14" t="str">
        <f ca="1">IFERROR(__xludf.DUMMYFUNCTION("""COMPUTED_VALUE"""),"MG-SJ: 3.499,-")</f>
        <v>MG-SJ: 3.499,-</v>
      </c>
      <c r="E19" s="14">
        <f ca="1">IFERROR(__xludf.DUMMYFUNCTION("""COMPUTED_VALUE"""),1202)</f>
        <v>1202</v>
      </c>
      <c r="F19" s="14" t="str">
        <f ca="1">IFERROR(__xludf.DUMMYFUNCTION("""COMPUTED_VALUE"""),"Claus Prehn")</f>
        <v>Claus Prehn</v>
      </c>
      <c r="G19" s="14" t="str">
        <f ca="1">IFERROR(__xludf.DUMMYFUNCTION("""COMPUTED_VALUE"""),"cp@lokalbolig.dk")</f>
        <v>cp@lokalbolig.dk</v>
      </c>
      <c r="H19" s="14" t="str">
        <f ca="1">IFERROR(__xludf.DUMMYFUNCTION("""COMPUTED_VALUE"""),"22 84 34 00")</f>
        <v>22 84 34 00</v>
      </c>
      <c r="I19" s="14" t="str">
        <f ca="1">IFERROR(__xludf.DUMMYFUNCTION("""COMPUTED_VALUE"""),"Torvestrædet 9")</f>
        <v>Torvestrædet 9</v>
      </c>
      <c r="J19" s="14">
        <f ca="1">IFERROR(__xludf.DUMMYFUNCTION("""COMPUTED_VALUE"""),3450)</f>
        <v>3450</v>
      </c>
      <c r="K19" s="14" t="str">
        <f ca="1">IFERROR(__xludf.DUMMYFUNCTION("""COMPUTED_VALUE"""),"Allerød")</f>
        <v>Allerød</v>
      </c>
      <c r="L19" s="14" t="str">
        <f ca="1">IFERROR(__xludf.DUMMYFUNCTION("""COMPUTED_VALUE"""),"Allerød")</f>
        <v>Allerød</v>
      </c>
      <c r="M19" s="14" t="str">
        <f ca="1">IFERROR(__xludf.DUMMYFUNCTION("""COMPUTED_VALUE"""),"Nordsjælland")</f>
        <v>Nordsjælland</v>
      </c>
      <c r="N19" s="14" t="str">
        <f ca="1">IFERROR(__xludf.DUMMYFUNCTION("""COMPUTED_VALUE"""),"Hovedstaden")</f>
        <v>Hovedstaden</v>
      </c>
      <c r="O19" s="14" t="str">
        <f ca="1">IFERROR(__xludf.DUMMYFUNCTION("""COMPUTED_VALUE"""),"48 10 60 60")</f>
        <v>48 10 60 60</v>
      </c>
      <c r="P19" s="14" t="str">
        <f ca="1">IFERROR(__xludf.DUMMYFUNCTION("""COMPUTED_VALUE"""),"alleroed@lokalbolig.dk")</f>
        <v>alleroed@lokalbolig.dk</v>
      </c>
      <c r="Q19" s="15" t="str">
        <f ca="1">IFERROR(__xludf.DUMMYFUNCTION("""COMPUTED_VALUE"""),"https://www.boliga.dk/maegler/19233")</f>
        <v>https://www.boliga.dk/maegler/19233</v>
      </c>
      <c r="R19" s="14" t="str">
        <f ca="1">IFERROR(__xludf.DUMMYFUNCTION("""COMPUTED_VALUE"""),"-")</f>
        <v>-</v>
      </c>
      <c r="S19" s="14" t="str">
        <f ca="1">IFERROR(__xludf.DUMMYFUNCTION("""COMPUTED_VALUE"""),"-")</f>
        <v>-</v>
      </c>
      <c r="T19" s="14" t="str">
        <f ca="1">IFERROR(__xludf.DUMMYFUNCTION("""COMPUTED_VALUE"""),"-")</f>
        <v>-</v>
      </c>
      <c r="U19" s="14">
        <f ca="1">IFERROR(__xludf.DUMMYFUNCTION("""COMPUTED_VALUE"""),9)</f>
        <v>9</v>
      </c>
      <c r="V19" s="14" t="str">
        <f ca="1">IFERROR(__xludf.DUMMYFUNCTION("""COMPUTED_VALUE"""),"3450, 3540")</f>
        <v>3450, 3540</v>
      </c>
      <c r="W19" s="14">
        <f ca="1">IFERROR(__xludf.DUMMYFUNCTION("""COMPUTED_VALUE"""),21)</f>
        <v>21</v>
      </c>
      <c r="X19" s="14" t="str">
        <f ca="1">IFERROR(__xludf.DUMMYFUNCTION("""COMPUTED_VALUE"""),"3450, 3540")</f>
        <v>3450, 3540</v>
      </c>
      <c r="Y19" s="14" t="str">
        <f ca="1">IFERROR(__xludf.DUMMYFUNCTION("""COMPUTED_VALUE"""),"ja")</f>
        <v>ja</v>
      </c>
      <c r="Z19" s="14"/>
      <c r="AA19" s="14"/>
      <c r="AB19" s="14" t="str">
        <f ca="1">IFERROR(__xludf.DUMMYFUNCTION("""COMPUTED_VALUE"""),"x")</f>
        <v>x</v>
      </c>
      <c r="AC19" s="14" t="str">
        <f ca="1">IFERROR(__xludf.DUMMYFUNCTION("""COMPUTED_VALUE"""),"x")</f>
        <v>x</v>
      </c>
    </row>
    <row r="20" spans="1:29" ht="12.5" x14ac:dyDescent="0.25">
      <c r="A20" s="14" t="str">
        <f ca="1">IFERROR(__xludf.DUMMYFUNCTION("""COMPUTED_VALUE"""),"Camilla")</f>
        <v>Camilla</v>
      </c>
      <c r="B20" s="14" t="str">
        <f ca="1">IFERROR(__xludf.DUMMYFUNCTION("""COMPUTED_VALUE"""),"Lokalbolig Birkerød")</f>
        <v>Lokalbolig Birkerød</v>
      </c>
      <c r="C20" s="14">
        <f ca="1">IFERROR(__xludf.DUMMYFUNCTION("""COMPUTED_VALUE"""),38003178)</f>
        <v>38003178</v>
      </c>
      <c r="D20" s="14" t="str">
        <f ca="1">IFERROR(__xludf.DUMMYFUNCTION("""COMPUTED_VALUE"""),"MG-SJ: 3.499,-")</f>
        <v>MG-SJ: 3.499,-</v>
      </c>
      <c r="E20" s="14">
        <f ca="1">IFERROR(__xludf.DUMMYFUNCTION("""COMPUTED_VALUE"""),1202)</f>
        <v>1202</v>
      </c>
      <c r="F20" s="14" t="str">
        <f ca="1">IFERROR(__xludf.DUMMYFUNCTION("""COMPUTED_VALUE"""),"Kristian Kofoed")</f>
        <v>Kristian Kofoed</v>
      </c>
      <c r="G20" s="14" t="str">
        <f ca="1">IFERROR(__xludf.DUMMYFUNCTION("""COMPUTED_VALUE"""),"kk@lokalbolig.dk")</f>
        <v>kk@lokalbolig.dk</v>
      </c>
      <c r="H20" s="14" t="str">
        <f ca="1">IFERROR(__xludf.DUMMYFUNCTION("""COMPUTED_VALUE"""),"69 13 28 40")</f>
        <v>69 13 28 40</v>
      </c>
      <c r="I20" s="14" t="str">
        <f ca="1">IFERROR(__xludf.DUMMYFUNCTION("""COMPUTED_VALUE"""),"Hovedgaden 14C")</f>
        <v>Hovedgaden 14C</v>
      </c>
      <c r="J20" s="14">
        <f ca="1">IFERROR(__xludf.DUMMYFUNCTION("""COMPUTED_VALUE"""),3460)</f>
        <v>3460</v>
      </c>
      <c r="K20" s="14" t="str">
        <f ca="1">IFERROR(__xludf.DUMMYFUNCTION("""COMPUTED_VALUE"""),"Birkerød")</f>
        <v>Birkerød</v>
      </c>
      <c r="L20" s="14" t="str">
        <f ca="1">IFERROR(__xludf.DUMMYFUNCTION("""COMPUTED_VALUE"""),"Rudersdal")</f>
        <v>Rudersdal</v>
      </c>
      <c r="M20" s="14" t="str">
        <f ca="1">IFERROR(__xludf.DUMMYFUNCTION("""COMPUTED_VALUE"""),"Nordsjælland")</f>
        <v>Nordsjælland</v>
      </c>
      <c r="N20" s="14" t="str">
        <f ca="1">IFERROR(__xludf.DUMMYFUNCTION("""COMPUTED_VALUE"""),"Hovedstaden")</f>
        <v>Hovedstaden</v>
      </c>
      <c r="O20" s="14">
        <f ca="1">IFERROR(__xludf.DUMMYFUNCTION("""COMPUTED_VALUE"""),45822800)</f>
        <v>45822800</v>
      </c>
      <c r="P20" s="14" t="str">
        <f ca="1">IFERROR(__xludf.DUMMYFUNCTION("""COMPUTED_VALUE"""),"birkeroed@lokalbolig.dk")</f>
        <v>birkeroed@lokalbolig.dk</v>
      </c>
      <c r="Q20" s="15" t="str">
        <f ca="1">IFERROR(__xludf.DUMMYFUNCTION("""COMPUTED_VALUE"""),"https://www.boliga.dk/maegler/24517")</f>
        <v>https://www.boliga.dk/maegler/24517</v>
      </c>
      <c r="R20" s="14" t="str">
        <f ca="1">IFERROR(__xludf.DUMMYFUNCTION("""COMPUTED_VALUE"""),"-")</f>
        <v>-</v>
      </c>
      <c r="S20" s="14" t="str">
        <f ca="1">IFERROR(__xludf.DUMMYFUNCTION("""COMPUTED_VALUE"""),"-")</f>
        <v>-</v>
      </c>
      <c r="T20" s="14" t="str">
        <f ca="1">IFERROR(__xludf.DUMMYFUNCTION("""COMPUTED_VALUE"""),"-")</f>
        <v>-</v>
      </c>
      <c r="U20" s="14">
        <f ca="1">IFERROR(__xludf.DUMMYFUNCTION("""COMPUTED_VALUE"""),6)</f>
        <v>6</v>
      </c>
      <c r="V20" s="14">
        <f ca="1">IFERROR(__xludf.DUMMYFUNCTION("""COMPUTED_VALUE"""),3460)</f>
        <v>3460</v>
      </c>
      <c r="W20" s="14">
        <f ca="1">IFERROR(__xludf.DUMMYFUNCTION("""COMPUTED_VALUE"""),7)</f>
        <v>7</v>
      </c>
      <c r="X20" s="14">
        <f ca="1">IFERROR(__xludf.DUMMYFUNCTION("""COMPUTED_VALUE"""),3460)</f>
        <v>3460</v>
      </c>
      <c r="Y20" s="14" t="str">
        <f ca="1">IFERROR(__xludf.DUMMYFUNCTION("""COMPUTED_VALUE"""),"ja")</f>
        <v>ja</v>
      </c>
      <c r="Z20" s="14"/>
      <c r="AA20" s="14"/>
      <c r="AB20" s="14" t="str">
        <f ca="1">IFERROR(__xludf.DUMMYFUNCTION("""COMPUTED_VALUE"""),"x")</f>
        <v>x</v>
      </c>
      <c r="AC20" s="14" t="str">
        <f ca="1">IFERROR(__xludf.DUMMYFUNCTION("""COMPUTED_VALUE"""),"x")</f>
        <v>x</v>
      </c>
    </row>
    <row r="21" spans="1:29" ht="12.5" x14ac:dyDescent="0.25">
      <c r="A21" s="14" t="str">
        <f ca="1">IFERROR(__xludf.DUMMYFUNCTION("""COMPUTED_VALUE"""),"Camilla")</f>
        <v>Camilla</v>
      </c>
      <c r="B21" s="14" t="str">
        <f ca="1">IFERROR(__xludf.DUMMYFUNCTION("""COMPUTED_VALUE"""),"LokalBolig Gilleleje ApS")</f>
        <v>LokalBolig Gilleleje ApS</v>
      </c>
      <c r="C21" s="14">
        <f ca="1">IFERROR(__xludf.DUMMYFUNCTION("""COMPUTED_VALUE"""),28506562)</f>
        <v>28506562</v>
      </c>
      <c r="D21" s="14" t="str">
        <f ca="1">IFERROR(__xludf.DUMMYFUNCTION("""COMPUTED_VALUE"""),"MG-SJ: 3.499,-")</f>
        <v>MG-SJ: 3.499,-</v>
      </c>
      <c r="E21" s="14">
        <f ca="1">IFERROR(__xludf.DUMMYFUNCTION("""COMPUTED_VALUE"""),1202)</f>
        <v>1202</v>
      </c>
      <c r="F21" s="14" t="str">
        <f ca="1">IFERROR(__xludf.DUMMYFUNCTION("""COMPUTED_VALUE"""),"Martin Yde")</f>
        <v>Martin Yde</v>
      </c>
      <c r="G21" s="15" t="str">
        <f ca="1">IFERROR(__xludf.DUMMYFUNCTION("""COMPUTED_VALUE"""),"m@lokalbolig.dk")</f>
        <v>m@lokalbolig.dk</v>
      </c>
      <c r="H21" s="14" t="str">
        <f ca="1">IFERROR(__xludf.DUMMYFUNCTION("""COMPUTED_VALUE"""),"22 18 60 00")</f>
        <v>22 18 60 00</v>
      </c>
      <c r="I21" s="14" t="str">
        <f ca="1">IFERROR(__xludf.DUMMYFUNCTION("""COMPUTED_VALUE"""),"Smidstrup Strandvej 53")</f>
        <v>Smidstrup Strandvej 53</v>
      </c>
      <c r="J21" s="14">
        <f ca="1">IFERROR(__xludf.DUMMYFUNCTION("""COMPUTED_VALUE"""),3250)</f>
        <v>3250</v>
      </c>
      <c r="K21" s="14" t="str">
        <f ca="1">IFERROR(__xludf.DUMMYFUNCTION("""COMPUTED_VALUE"""),"Gilleleje")</f>
        <v>Gilleleje</v>
      </c>
      <c r="L21" s="14" t="str">
        <f ca="1">IFERROR(__xludf.DUMMYFUNCTION("""COMPUTED_VALUE"""),"Gribskov")</f>
        <v>Gribskov</v>
      </c>
      <c r="M21" s="14" t="str">
        <f ca="1">IFERROR(__xludf.DUMMYFUNCTION("""COMPUTED_VALUE"""),"Nordsjælland")</f>
        <v>Nordsjælland</v>
      </c>
      <c r="N21" s="14" t="str">
        <f ca="1">IFERROR(__xludf.DUMMYFUNCTION("""COMPUTED_VALUE"""),"Hovedstaden")</f>
        <v>Hovedstaden</v>
      </c>
      <c r="O21" s="14">
        <f ca="1">IFERROR(__xludf.DUMMYFUNCTION("""COMPUTED_VALUE"""),48760880)</f>
        <v>48760880</v>
      </c>
      <c r="P21" s="14" t="str">
        <f ca="1">IFERROR(__xludf.DUMMYFUNCTION("""COMPUTED_VALUE"""),"gilleleje@lokalbolig.dk")</f>
        <v>gilleleje@lokalbolig.dk</v>
      </c>
      <c r="Q21" s="15" t="str">
        <f ca="1">IFERROR(__xludf.DUMMYFUNCTION("""COMPUTED_VALUE"""),"https://www.boliga.dk/maegler/25223")</f>
        <v>https://www.boliga.dk/maegler/25223</v>
      </c>
      <c r="R21" s="14" t="str">
        <f ca="1">IFERROR(__xludf.DUMMYFUNCTION("""COMPUTED_VALUE"""),"-")</f>
        <v>-</v>
      </c>
      <c r="S21" s="14" t="str">
        <f ca="1">IFERROR(__xludf.DUMMYFUNCTION("""COMPUTED_VALUE"""),"-")</f>
        <v>-</v>
      </c>
      <c r="T21" s="14" t="str">
        <f ca="1">IFERROR(__xludf.DUMMYFUNCTION("""COMPUTED_VALUE"""),"-")</f>
        <v>-</v>
      </c>
      <c r="U21" s="14">
        <f ca="1">IFERROR(__xludf.DUMMYFUNCTION("""COMPUTED_VALUE"""),7)</f>
        <v>7</v>
      </c>
      <c r="V21" s="14">
        <f ca="1">IFERROR(__xludf.DUMMYFUNCTION("""COMPUTED_VALUE"""),3230)</f>
        <v>3230</v>
      </c>
      <c r="W21" s="14">
        <f ca="1">IFERROR(__xludf.DUMMYFUNCTION("""COMPUTED_VALUE"""),11)</f>
        <v>11</v>
      </c>
      <c r="X21" s="14" t="str">
        <f ca="1">IFERROR(__xludf.DUMMYFUNCTION("""COMPUTED_VALUE"""),"3250, 3230, 3120")</f>
        <v>3250, 3230, 3120</v>
      </c>
      <c r="Y21" s="14" t="str">
        <f ca="1">IFERROR(__xludf.DUMMYFUNCTION("""COMPUTED_VALUE"""),"ja")</f>
        <v>ja</v>
      </c>
      <c r="Z21" s="14"/>
      <c r="AA21" s="14"/>
      <c r="AB21" s="14" t="str">
        <f ca="1">IFERROR(__xludf.DUMMYFUNCTION("""COMPUTED_VALUE"""),"x")</f>
        <v>x</v>
      </c>
      <c r="AC21" s="14" t="str">
        <f ca="1">IFERROR(__xludf.DUMMYFUNCTION("""COMPUTED_VALUE"""),"x")</f>
        <v>x</v>
      </c>
    </row>
    <row r="22" spans="1:29" ht="12.5" x14ac:dyDescent="0.25">
      <c r="A22" s="14" t="str">
        <f ca="1">IFERROR(__xludf.DUMMYFUNCTION("""COMPUTED_VALUE"""),"Camilla")</f>
        <v>Camilla</v>
      </c>
      <c r="B22" s="14" t="str">
        <f ca="1">IFERROR(__xludf.DUMMYFUNCTION("""COMPUTED_VALUE"""),"LokalBolig Helsinge ApS")</f>
        <v>LokalBolig Helsinge ApS</v>
      </c>
      <c r="C22" s="14">
        <f ca="1">IFERROR(__xludf.DUMMYFUNCTION("""COMPUTED_VALUE"""),28506562)</f>
        <v>28506562</v>
      </c>
      <c r="D22" s="14" t="str">
        <f ca="1">IFERROR(__xludf.DUMMYFUNCTION("""COMPUTED_VALUE"""),"MG-SJ: 3.499,-")</f>
        <v>MG-SJ: 3.499,-</v>
      </c>
      <c r="E22" s="14">
        <f ca="1">IFERROR(__xludf.DUMMYFUNCTION("""COMPUTED_VALUE"""),1202)</f>
        <v>1202</v>
      </c>
      <c r="F22" s="14" t="str">
        <f ca="1">IFERROR(__xludf.DUMMYFUNCTION("""COMPUTED_VALUE"""),"Martin Yde")</f>
        <v>Martin Yde</v>
      </c>
      <c r="G22" s="15" t="str">
        <f ca="1">IFERROR(__xludf.DUMMYFUNCTION("""COMPUTED_VALUE"""),"m@lokalbolig.dk")</f>
        <v>m@lokalbolig.dk</v>
      </c>
      <c r="H22" s="14" t="str">
        <f ca="1">IFERROR(__xludf.DUMMYFUNCTION("""COMPUTED_VALUE"""),"22 18 60 00")</f>
        <v>22 18 60 00</v>
      </c>
      <c r="I22" s="14" t="str">
        <f ca="1">IFERROR(__xludf.DUMMYFUNCTION("""COMPUTED_VALUE"""),"Vestergade 15")</f>
        <v>Vestergade 15</v>
      </c>
      <c r="J22" s="14">
        <f ca="1">IFERROR(__xludf.DUMMYFUNCTION("""COMPUTED_VALUE"""),3200)</f>
        <v>3200</v>
      </c>
      <c r="K22" s="14" t="str">
        <f ca="1">IFERROR(__xludf.DUMMYFUNCTION("""COMPUTED_VALUE"""),"Helsinge")</f>
        <v>Helsinge</v>
      </c>
      <c r="L22" s="14" t="str">
        <f ca="1">IFERROR(__xludf.DUMMYFUNCTION("""COMPUTED_VALUE"""),"Gribskov")</f>
        <v>Gribskov</v>
      </c>
      <c r="M22" s="14" t="str">
        <f ca="1">IFERROR(__xludf.DUMMYFUNCTION("""COMPUTED_VALUE"""),"Nordsjælland")</f>
        <v>Nordsjælland</v>
      </c>
      <c r="N22" s="14" t="str">
        <f ca="1">IFERROR(__xludf.DUMMYFUNCTION("""COMPUTED_VALUE"""),"Hovedstaden")</f>
        <v>Hovedstaden</v>
      </c>
      <c r="O22" s="14" t="str">
        <f ca="1">IFERROR(__xludf.DUMMYFUNCTION("""COMPUTED_VALUE"""),"48 76 08 80")</f>
        <v>48 76 08 80</v>
      </c>
      <c r="P22" s="14" t="str">
        <f ca="1">IFERROR(__xludf.DUMMYFUNCTION("""COMPUTED_VALUE"""),"helsinge@lokalbolig.dk")</f>
        <v>helsinge@lokalbolig.dk</v>
      </c>
      <c r="Q22" s="15" t="str">
        <f ca="1">IFERROR(__xludf.DUMMYFUNCTION("""COMPUTED_VALUE"""),"https://www.boliga.dk/maegler/19241")</f>
        <v>https://www.boliga.dk/maegler/19241</v>
      </c>
      <c r="R22" s="14" t="str">
        <f ca="1">IFERROR(__xludf.DUMMYFUNCTION("""COMPUTED_VALUE"""),"-")</f>
        <v>-</v>
      </c>
      <c r="S22" s="14" t="str">
        <f ca="1">IFERROR(__xludf.DUMMYFUNCTION("""COMPUTED_VALUE"""),"-")</f>
        <v>-</v>
      </c>
      <c r="T22" s="14" t="str">
        <f ca="1">IFERROR(__xludf.DUMMYFUNCTION("""COMPUTED_VALUE"""),"-")</f>
        <v>-</v>
      </c>
      <c r="U22" s="14">
        <f ca="1">IFERROR(__xludf.DUMMYFUNCTION("""COMPUTED_VALUE"""),8)</f>
        <v>8</v>
      </c>
      <c r="V22" s="14">
        <f ca="1">IFERROR(__xludf.DUMMYFUNCTION("""COMPUTED_VALUE"""),3200)</f>
        <v>3200</v>
      </c>
      <c r="W22" s="14">
        <f ca="1">IFERROR(__xludf.DUMMYFUNCTION("""COMPUTED_VALUE"""),9)</f>
        <v>9</v>
      </c>
      <c r="X22" s="14" t="str">
        <f ca="1">IFERROR(__xludf.DUMMYFUNCTION("""COMPUTED_VALUE"""),"3230, 3200, 3210")</f>
        <v>3230, 3200, 3210</v>
      </c>
      <c r="Y22" s="14" t="str">
        <f ca="1">IFERROR(__xludf.DUMMYFUNCTION("""COMPUTED_VALUE"""),"ja")</f>
        <v>ja</v>
      </c>
      <c r="Z22" s="14"/>
      <c r="AA22" s="14"/>
      <c r="AB22" s="14" t="str">
        <f ca="1">IFERROR(__xludf.DUMMYFUNCTION("""COMPUTED_VALUE"""),"x")</f>
        <v>x</v>
      </c>
      <c r="AC22" s="14" t="str">
        <f ca="1">IFERROR(__xludf.DUMMYFUNCTION("""COMPUTED_VALUE"""),"x")</f>
        <v>x</v>
      </c>
    </row>
    <row r="23" spans="1:29" ht="12.5" x14ac:dyDescent="0.25">
      <c r="A23" s="14" t="str">
        <f ca="1">IFERROR(__xludf.DUMMYFUNCTION("""COMPUTED_VALUE"""),"Camilla")</f>
        <v>Camilla</v>
      </c>
      <c r="B23" s="14" t="str">
        <f ca="1">IFERROR(__xludf.DUMMYFUNCTION("""COMPUTED_VALUE"""),"LokalBolig Hillerød ApS")</f>
        <v>LokalBolig Hillerød ApS</v>
      </c>
      <c r="C23" s="14">
        <f ca="1">IFERROR(__xludf.DUMMYFUNCTION("""COMPUTED_VALUE"""),29603359)</f>
        <v>29603359</v>
      </c>
      <c r="D23" s="14" t="str">
        <f ca="1">IFERROR(__xludf.DUMMYFUNCTION("""COMPUTED_VALUE"""),"MG-SJ: 3.499,-")</f>
        <v>MG-SJ: 3.499,-</v>
      </c>
      <c r="E23" s="14">
        <f ca="1">IFERROR(__xludf.DUMMYFUNCTION("""COMPUTED_VALUE"""),1202)</f>
        <v>1202</v>
      </c>
      <c r="F23" s="14" t="str">
        <f ca="1">IFERROR(__xludf.DUMMYFUNCTION("""COMPUTED_VALUE"""),"Kim Andreasen")</f>
        <v>Kim Andreasen</v>
      </c>
      <c r="G23" s="14" t="str">
        <f ca="1">IFERROR(__xludf.DUMMYFUNCTION("""COMPUTED_VALUE"""),"ka@lokalbolig.dk")</f>
        <v>ka@lokalbolig.dk</v>
      </c>
      <c r="H23" s="14" t="str">
        <f ca="1">IFERROR(__xludf.DUMMYFUNCTION("""COMPUTED_VALUE"""),"22 84 34 10")</f>
        <v>22 84 34 10</v>
      </c>
      <c r="I23" s="14" t="str">
        <f ca="1">IFERROR(__xludf.DUMMYFUNCTION("""COMPUTED_VALUE"""),"Helsingørsgade 52B")</f>
        <v>Helsingørsgade 52B</v>
      </c>
      <c r="J23" s="14">
        <f ca="1">IFERROR(__xludf.DUMMYFUNCTION("""COMPUTED_VALUE"""),3400)</f>
        <v>3400</v>
      </c>
      <c r="K23" s="14" t="str">
        <f ca="1">IFERROR(__xludf.DUMMYFUNCTION("""COMPUTED_VALUE"""),"Hillerød")</f>
        <v>Hillerød</v>
      </c>
      <c r="L23" s="14" t="str">
        <f ca="1">IFERROR(__xludf.DUMMYFUNCTION("""COMPUTED_VALUE"""),"Hillerød")</f>
        <v>Hillerød</v>
      </c>
      <c r="M23" s="14" t="str">
        <f ca="1">IFERROR(__xludf.DUMMYFUNCTION("""COMPUTED_VALUE"""),"Nordsjælland")</f>
        <v>Nordsjælland</v>
      </c>
      <c r="N23" s="14" t="str">
        <f ca="1">IFERROR(__xludf.DUMMYFUNCTION("""COMPUTED_VALUE"""),"Hovedstaden")</f>
        <v>Hovedstaden</v>
      </c>
      <c r="O23" s="14" t="str">
        <f ca="1">IFERROR(__xludf.DUMMYFUNCTION("""COMPUTED_VALUE"""),"48 29 90 00")</f>
        <v>48 29 90 00</v>
      </c>
      <c r="P23" s="14" t="str">
        <f ca="1">IFERROR(__xludf.DUMMYFUNCTION("""COMPUTED_VALUE"""),"hilleroed@lokalbolig.dk")</f>
        <v>hilleroed@lokalbolig.dk</v>
      </c>
      <c r="Q23" s="15" t="str">
        <f ca="1">IFERROR(__xludf.DUMMYFUNCTION("""COMPUTED_VALUE"""),"https://www.boliga.dk/maegler/19283")</f>
        <v>https://www.boliga.dk/maegler/19283</v>
      </c>
      <c r="R23" s="14" t="str">
        <f ca="1">IFERROR(__xludf.DUMMYFUNCTION("""COMPUTED_VALUE"""),"-")</f>
        <v>-</v>
      </c>
      <c r="S23" s="14" t="str">
        <f ca="1">IFERROR(__xludf.DUMMYFUNCTION("""COMPUTED_VALUE"""),"-")</f>
        <v>-</v>
      </c>
      <c r="T23" s="14" t="str">
        <f ca="1">IFERROR(__xludf.DUMMYFUNCTION("""COMPUTED_VALUE"""),"-")</f>
        <v>-</v>
      </c>
      <c r="U23" s="14">
        <f ca="1">IFERROR(__xludf.DUMMYFUNCTION("""COMPUTED_VALUE"""),6)</f>
        <v>6</v>
      </c>
      <c r="V23" s="14" t="str">
        <f ca="1">IFERROR(__xludf.DUMMYFUNCTION("""COMPUTED_VALUE"""),"3400, 3320")</f>
        <v>3400, 3320</v>
      </c>
      <c r="W23" s="14">
        <f ca="1">IFERROR(__xludf.DUMMYFUNCTION("""COMPUTED_VALUE"""),22)</f>
        <v>22</v>
      </c>
      <c r="X23" s="14" t="str">
        <f ca="1">IFERROR(__xludf.DUMMYFUNCTION("""COMPUTED_VALUE"""),"3550, 3400, 3320")</f>
        <v>3550, 3400, 3320</v>
      </c>
      <c r="Y23" s="14" t="str">
        <f ca="1">IFERROR(__xludf.DUMMYFUNCTION("""COMPUTED_VALUE"""),"ja")</f>
        <v>ja</v>
      </c>
      <c r="Z23" s="14"/>
      <c r="AA23" s="14"/>
      <c r="AB23" s="14" t="str">
        <f ca="1">IFERROR(__xludf.DUMMYFUNCTION("""COMPUTED_VALUE"""),"x")</f>
        <v>x</v>
      </c>
      <c r="AC23" s="14" t="str">
        <f ca="1">IFERROR(__xludf.DUMMYFUNCTION("""COMPUTED_VALUE"""),"x")</f>
        <v>x</v>
      </c>
    </row>
    <row r="24" spans="1:29" ht="12.5" x14ac:dyDescent="0.25">
      <c r="A24" s="14" t="str">
        <f ca="1">IFERROR(__xludf.DUMMYFUNCTION("""COMPUTED_VALUE"""),"Camilla")</f>
        <v>Camilla</v>
      </c>
      <c r="B24" s="14" t="str">
        <f ca="1">IFERROR(__xludf.DUMMYFUNCTION("""COMPUTED_VALUE"""),"Lokalbolig Holte")</f>
        <v>Lokalbolig Holte</v>
      </c>
      <c r="C24" s="14">
        <f ca="1">IFERROR(__xludf.DUMMYFUNCTION("""COMPUTED_VALUE"""),38589245)</f>
        <v>38589245</v>
      </c>
      <c r="D24" s="14" t="str">
        <f ca="1">IFERROR(__xludf.DUMMYFUNCTION("""COMPUTED_VALUE"""),"MG-SJ: 3.499,-")</f>
        <v>MG-SJ: 3.499,-</v>
      </c>
      <c r="E24" s="14">
        <f ca="1">IFERROR(__xludf.DUMMYFUNCTION("""COMPUTED_VALUE"""),1202)</f>
        <v>1202</v>
      </c>
      <c r="F24" s="14" t="str">
        <f ca="1">IFERROR(__xludf.DUMMYFUNCTION("""COMPUTED_VALUE"""),"Kristian Kofoed")</f>
        <v>Kristian Kofoed</v>
      </c>
      <c r="G24" s="14" t="str">
        <f ca="1">IFERROR(__xludf.DUMMYFUNCTION("""COMPUTED_VALUE"""),"kk@lokalbolig.dk")</f>
        <v>kk@lokalbolig.dk</v>
      </c>
      <c r="H24" s="14" t="str">
        <f ca="1">IFERROR(__xludf.DUMMYFUNCTION("""COMPUTED_VALUE"""),"69 13 28 40")</f>
        <v>69 13 28 40</v>
      </c>
      <c r="I24" s="14" t="str">
        <f ca="1">IFERROR(__xludf.DUMMYFUNCTION("""COMPUTED_VALUE"""),"Øverødvej 9")</f>
        <v>Øverødvej 9</v>
      </c>
      <c r="J24" s="14">
        <f ca="1">IFERROR(__xludf.DUMMYFUNCTION("""COMPUTED_VALUE"""),2840)</f>
        <v>2840</v>
      </c>
      <c r="K24" s="14" t="str">
        <f ca="1">IFERROR(__xludf.DUMMYFUNCTION("""COMPUTED_VALUE"""),"Holte")</f>
        <v>Holte</v>
      </c>
      <c r="L24" s="14" t="str">
        <f ca="1">IFERROR(__xludf.DUMMYFUNCTION("""COMPUTED_VALUE"""),"Rudersdal")</f>
        <v>Rudersdal</v>
      </c>
      <c r="M24" s="14" t="str">
        <f ca="1">IFERROR(__xludf.DUMMYFUNCTION("""COMPUTED_VALUE"""),"Nordsjælland")</f>
        <v>Nordsjælland</v>
      </c>
      <c r="N24" s="14" t="str">
        <f ca="1">IFERROR(__xludf.DUMMYFUNCTION("""COMPUTED_VALUE"""),"Hovedstaden")</f>
        <v>Hovedstaden</v>
      </c>
      <c r="O24" s="14">
        <f ca="1">IFERROR(__xludf.DUMMYFUNCTION("""COMPUTED_VALUE"""),69132840)</f>
        <v>69132840</v>
      </c>
      <c r="P24" s="14" t="str">
        <f ca="1">IFERROR(__xludf.DUMMYFUNCTION("""COMPUTED_VALUE"""),"holte@lokalbolig.dk")</f>
        <v>holte@lokalbolig.dk</v>
      </c>
      <c r="Q24" s="15" t="str">
        <f ca="1">IFERROR(__xludf.DUMMYFUNCTION("""COMPUTED_VALUE"""),"https://www.boliga.dk/maegler/23642")</f>
        <v>https://www.boliga.dk/maegler/23642</v>
      </c>
      <c r="R24" s="14" t="str">
        <f ca="1">IFERROR(__xludf.DUMMYFUNCTION("""COMPUTED_VALUE"""),"-")</f>
        <v>-</v>
      </c>
      <c r="S24" s="14" t="str">
        <f ca="1">IFERROR(__xludf.DUMMYFUNCTION("""COMPUTED_VALUE"""),"-")</f>
        <v>-</v>
      </c>
      <c r="T24" s="14" t="str">
        <f ca="1">IFERROR(__xludf.DUMMYFUNCTION("""COMPUTED_VALUE"""),"-")</f>
        <v>-</v>
      </c>
      <c r="U24" s="14">
        <f ca="1">IFERROR(__xludf.DUMMYFUNCTION("""COMPUTED_VALUE"""),21)</f>
        <v>21</v>
      </c>
      <c r="V24" s="14" t="str">
        <f ca="1">IFERROR(__xludf.DUMMYFUNCTION("""COMPUTED_VALUE"""),"2942, 2840, 2950")</f>
        <v>2942, 2840, 2950</v>
      </c>
      <c r="W24" s="14">
        <f ca="1">IFERROR(__xludf.DUMMYFUNCTION("""COMPUTED_VALUE"""),23)</f>
        <v>23</v>
      </c>
      <c r="X24" s="14" t="str">
        <f ca="1">IFERROR(__xludf.DUMMYFUNCTION("""COMPUTED_VALUE"""),"2942, 2850, 2950, 2840")</f>
        <v>2942, 2850, 2950, 2840</v>
      </c>
      <c r="Y24" s="14" t="str">
        <f ca="1">IFERROR(__xludf.DUMMYFUNCTION("""COMPUTED_VALUE"""),"ja")</f>
        <v>ja</v>
      </c>
      <c r="Z24" s="14"/>
      <c r="AA24" s="14"/>
      <c r="AB24" s="14" t="str">
        <f ca="1">IFERROR(__xludf.DUMMYFUNCTION("""COMPUTED_VALUE"""),"x")</f>
        <v>x</v>
      </c>
      <c r="AC24" s="14" t="str">
        <f ca="1">IFERROR(__xludf.DUMMYFUNCTION("""COMPUTED_VALUE"""),"x")</f>
        <v>x</v>
      </c>
    </row>
    <row r="25" spans="1:29" ht="12.5" x14ac:dyDescent="0.25">
      <c r="A25" s="14" t="str">
        <f ca="1">IFERROR(__xludf.DUMMYFUNCTION("""COMPUTED_VALUE"""),"Camilla")</f>
        <v>Camilla</v>
      </c>
      <c r="B25" s="14" t="str">
        <f ca="1">IFERROR(__xludf.DUMMYFUNCTION("""COMPUTED_VALUE"""),"LokalBolig Hørsholm ApS")</f>
        <v>LokalBolig Hørsholm ApS</v>
      </c>
      <c r="C25" s="14">
        <f ca="1">IFERROR(__xludf.DUMMYFUNCTION("""COMPUTED_VALUE"""),33360355)</f>
        <v>33360355</v>
      </c>
      <c r="D25" s="14" t="str">
        <f ca="1">IFERROR(__xludf.DUMMYFUNCTION("""COMPUTED_VALUE"""),"MG-SJ: 3.499,-")</f>
        <v>MG-SJ: 3.499,-</v>
      </c>
      <c r="E25" s="14">
        <f ca="1">IFERROR(__xludf.DUMMYFUNCTION("""COMPUTED_VALUE"""),1202)</f>
        <v>1202</v>
      </c>
      <c r="F25" s="14" t="str">
        <f ca="1">IFERROR(__xludf.DUMMYFUNCTION("""COMPUTED_VALUE"""),"Stefan Skafdrup")</f>
        <v>Stefan Skafdrup</v>
      </c>
      <c r="G25" s="14" t="str">
        <f ca="1">IFERROR(__xludf.DUMMYFUNCTION("""COMPUTED_VALUE"""),"ssk@lokalbolig.dk")</f>
        <v>ssk@lokalbolig.dk</v>
      </c>
      <c r="H25" s="14" t="str">
        <f ca="1">IFERROR(__xludf.DUMMYFUNCTION("""COMPUTED_VALUE"""),"24 78 50 30")</f>
        <v>24 78 50 30</v>
      </c>
      <c r="I25" s="14" t="str">
        <f ca="1">IFERROR(__xludf.DUMMYFUNCTION("""COMPUTED_VALUE"""),"Rungstedvej 20 (parkering v. Stolbergsvej 2)")</f>
        <v>Rungstedvej 20 (parkering v. Stolbergsvej 2)</v>
      </c>
      <c r="J25" s="14">
        <f ca="1">IFERROR(__xludf.DUMMYFUNCTION("""COMPUTED_VALUE"""),2970)</f>
        <v>2970</v>
      </c>
      <c r="K25" s="14" t="str">
        <f ca="1">IFERROR(__xludf.DUMMYFUNCTION("""COMPUTED_VALUE"""),"Hørsholm")</f>
        <v>Hørsholm</v>
      </c>
      <c r="L25" s="14" t="str">
        <f ca="1">IFERROR(__xludf.DUMMYFUNCTION("""COMPUTED_VALUE"""),"Hørsholm")</f>
        <v>Hørsholm</v>
      </c>
      <c r="M25" s="14" t="str">
        <f ca="1">IFERROR(__xludf.DUMMYFUNCTION("""COMPUTED_VALUE"""),"Nordsjælland")</f>
        <v>Nordsjælland</v>
      </c>
      <c r="N25" s="14" t="str">
        <f ca="1">IFERROR(__xludf.DUMMYFUNCTION("""COMPUTED_VALUE"""),"Hovedstaden")</f>
        <v>Hovedstaden</v>
      </c>
      <c r="O25" s="14" t="str">
        <f ca="1">IFERROR(__xludf.DUMMYFUNCTION("""COMPUTED_VALUE"""),"45 76 50 30")</f>
        <v>45 76 50 30</v>
      </c>
      <c r="P25" s="14" t="str">
        <f ca="1">IFERROR(__xludf.DUMMYFUNCTION("""COMPUTED_VALUE"""),"2970@lokalbolig.dk")</f>
        <v>2970@lokalbolig.dk</v>
      </c>
      <c r="Q25" s="15" t="str">
        <f ca="1">IFERROR(__xludf.DUMMYFUNCTION("""COMPUTED_VALUE"""),"https://www.boliga.dk/maegler/19246")</f>
        <v>https://www.boliga.dk/maegler/19246</v>
      </c>
      <c r="R25" s="14" t="str">
        <f ca="1">IFERROR(__xludf.DUMMYFUNCTION("""COMPUTED_VALUE"""),"-")</f>
        <v>-</v>
      </c>
      <c r="S25" s="14" t="str">
        <f ca="1">IFERROR(__xludf.DUMMYFUNCTION("""COMPUTED_VALUE"""),"-")</f>
        <v>-</v>
      </c>
      <c r="T25" s="14" t="str">
        <f ca="1">IFERROR(__xludf.DUMMYFUNCTION("""COMPUTED_VALUE"""),"-")</f>
        <v>-</v>
      </c>
      <c r="U25" s="14">
        <f ca="1">IFERROR(__xludf.DUMMYFUNCTION("""COMPUTED_VALUE"""),21)</f>
        <v>21</v>
      </c>
      <c r="V25" s="14" t="str">
        <f ca="1">IFERROR(__xludf.DUMMYFUNCTION("""COMPUTED_VALUE"""),"2970, 2960")</f>
        <v>2970, 2960</v>
      </c>
      <c r="W25" s="14">
        <f ca="1">IFERROR(__xludf.DUMMYFUNCTION("""COMPUTED_VALUE"""),28)</f>
        <v>28</v>
      </c>
      <c r="X25" s="14" t="str">
        <f ca="1">IFERROR(__xludf.DUMMYFUNCTION("""COMPUTED_VALUE"""),"2960, 2980, 2970")</f>
        <v>2960, 2980, 2970</v>
      </c>
      <c r="Y25" s="14" t="str">
        <f ca="1">IFERROR(__xludf.DUMMYFUNCTION("""COMPUTED_VALUE"""),"ja")</f>
        <v>ja</v>
      </c>
      <c r="Z25" s="14"/>
      <c r="AA25" s="14"/>
      <c r="AB25" s="14" t="str">
        <f ca="1">IFERROR(__xludf.DUMMYFUNCTION("""COMPUTED_VALUE"""),"x")</f>
        <v>x</v>
      </c>
      <c r="AC25" s="14" t="str">
        <f ca="1">IFERROR(__xludf.DUMMYFUNCTION("""COMPUTED_VALUE"""),"x")</f>
        <v>x</v>
      </c>
    </row>
    <row r="26" spans="1:29" ht="12.5" x14ac:dyDescent="0.25">
      <c r="A26" s="14" t="str">
        <f ca="1">IFERROR(__xludf.DUMMYFUNCTION("""COMPUTED_VALUE"""),"Camilla")</f>
        <v>Camilla</v>
      </c>
      <c r="B26" s="14" t="str">
        <f ca="1">IFERROR(__xludf.DUMMYFUNCTION("""COMPUTED_VALUE"""),"LokalBolig Halsnæs ApS")</f>
        <v>LokalBolig Halsnæs ApS</v>
      </c>
      <c r="C26" s="14">
        <f ca="1">IFERROR(__xludf.DUMMYFUNCTION("""COMPUTED_VALUE"""),26937302)</f>
        <v>26937302</v>
      </c>
      <c r="D26" s="14" t="str">
        <f ca="1">IFERROR(__xludf.DUMMYFUNCTION("""COMPUTED_VALUE"""),"MG-SJ: 3.499,-")</f>
        <v>MG-SJ: 3.499,-</v>
      </c>
      <c r="E26" s="14">
        <f ca="1">IFERROR(__xludf.DUMMYFUNCTION("""COMPUTED_VALUE"""),1202)</f>
        <v>1202</v>
      </c>
      <c r="F26" s="14" t="str">
        <f ca="1">IFERROR(__xludf.DUMMYFUNCTION("""COMPUTED_VALUE"""),"Lars Gravenlund")</f>
        <v>Lars Gravenlund</v>
      </c>
      <c r="G26" s="14" t="str">
        <f ca="1">IFERROR(__xludf.DUMMYFUNCTION("""COMPUTED_VALUE"""),"lb@lokalbolig.dk")</f>
        <v>lb@lokalbolig.dk</v>
      </c>
      <c r="H26" s="14" t="str">
        <f ca="1">IFERROR(__xludf.DUMMYFUNCTION("""COMPUTED_VALUE"""),"51 52 19 36")</f>
        <v>51 52 19 36</v>
      </c>
      <c r="I26" s="14" t="str">
        <f ca="1">IFERROR(__xludf.DUMMYFUNCTION("""COMPUTED_VALUE"""),"Hillerødvej 2A")</f>
        <v>Hillerødvej 2A</v>
      </c>
      <c r="J26" s="14">
        <f ca="1">IFERROR(__xludf.DUMMYFUNCTION("""COMPUTED_VALUE"""),3300)</f>
        <v>3300</v>
      </c>
      <c r="K26" s="14" t="str">
        <f ca="1">IFERROR(__xludf.DUMMYFUNCTION("""COMPUTED_VALUE"""),"Frederiksværk")</f>
        <v>Frederiksværk</v>
      </c>
      <c r="L26" s="14" t="str">
        <f ca="1">IFERROR(__xludf.DUMMYFUNCTION("""COMPUTED_VALUE"""),"Halsnæs")</f>
        <v>Halsnæs</v>
      </c>
      <c r="M26" s="14" t="str">
        <f ca="1">IFERROR(__xludf.DUMMYFUNCTION("""COMPUTED_VALUE"""),"Nordsjælland")</f>
        <v>Nordsjælland</v>
      </c>
      <c r="N26" s="14" t="str">
        <f ca="1">IFERROR(__xludf.DUMMYFUNCTION("""COMPUTED_VALUE"""),"Hovedstaden")</f>
        <v>Hovedstaden</v>
      </c>
      <c r="O26" s="14" t="str">
        <f ca="1">IFERROR(__xludf.DUMMYFUNCTION("""COMPUTED_VALUE"""),"47 76 00 50")</f>
        <v>47 76 00 50</v>
      </c>
      <c r="P26" s="14" t="str">
        <f ca="1">IFERROR(__xludf.DUMMYFUNCTION("""COMPUTED_VALUE"""),"halsnaes@lokalbolig.dk")</f>
        <v>halsnaes@lokalbolig.dk</v>
      </c>
      <c r="Q26" s="15" t="str">
        <f ca="1">IFERROR(__xludf.DUMMYFUNCTION("""COMPUTED_VALUE"""),"https://www.boliga.dk/maegler/19243")</f>
        <v>https://www.boliga.dk/maegler/19243</v>
      </c>
      <c r="R26" s="14" t="str">
        <f ca="1">IFERROR(__xludf.DUMMYFUNCTION("""COMPUTED_VALUE"""),"-")</f>
        <v>-</v>
      </c>
      <c r="S26" s="14" t="str">
        <f ca="1">IFERROR(__xludf.DUMMYFUNCTION("""COMPUTED_VALUE"""),"-")</f>
        <v>-</v>
      </c>
      <c r="T26" s="14" t="str">
        <f ca="1">IFERROR(__xludf.DUMMYFUNCTION("""COMPUTED_VALUE"""),"-")</f>
        <v>-</v>
      </c>
      <c r="U26" s="14">
        <f ca="1">IFERROR(__xludf.DUMMYFUNCTION("""COMPUTED_VALUE"""),19)</f>
        <v>19</v>
      </c>
      <c r="V26" s="14" t="str">
        <f ca="1">IFERROR(__xludf.DUMMYFUNCTION("""COMPUTED_VALUE"""),"3310, 3390, 3300, 3370")</f>
        <v>3310, 3390, 3300, 3370</v>
      </c>
      <c r="W26" s="14">
        <f ca="1">IFERROR(__xludf.DUMMYFUNCTION("""COMPUTED_VALUE"""),27)</f>
        <v>27</v>
      </c>
      <c r="X26" s="14" t="str">
        <f ca="1">IFERROR(__xludf.DUMMYFUNCTION("""COMPUTED_VALUE"""),"3310, 3390, 3300, 3370, 3360")</f>
        <v>3310, 3390, 3300, 3370, 3360</v>
      </c>
      <c r="Y26" s="14" t="str">
        <f ca="1">IFERROR(__xludf.DUMMYFUNCTION("""COMPUTED_VALUE"""),"ja")</f>
        <v>ja</v>
      </c>
      <c r="Z26" s="14"/>
      <c r="AA26" s="14"/>
      <c r="AB26" s="14" t="str">
        <f ca="1">IFERROR(__xludf.DUMMYFUNCTION("""COMPUTED_VALUE"""),"x")</f>
        <v>x</v>
      </c>
      <c r="AC26" s="14" t="str">
        <f ca="1">IFERROR(__xludf.DUMMYFUNCTION("""COMPUTED_VALUE"""),"x")</f>
        <v>x</v>
      </c>
    </row>
    <row r="27" spans="1:29" ht="12.5" x14ac:dyDescent="0.25">
      <c r="A27" s="14" t="str">
        <f ca="1">IFERROR(__xludf.DUMMYFUNCTION("""COMPUTED_VALUE"""),"Camilla")</f>
        <v>Camilla</v>
      </c>
      <c r="B27" s="14" t="str">
        <f ca="1">IFERROR(__xludf.DUMMYFUNCTION("""COMPUTED_VALUE"""),"LokalBolig Stenløse ApS")</f>
        <v>LokalBolig Stenløse ApS</v>
      </c>
      <c r="C27" s="14">
        <f ca="1">IFERROR(__xludf.DUMMYFUNCTION("""COMPUTED_VALUE"""),39122634)</f>
        <v>39122634</v>
      </c>
      <c r="D27" s="14" t="str">
        <f ca="1">IFERROR(__xludf.DUMMYFUNCTION("""COMPUTED_VALUE"""),"MG-SJ: 3.499,-")</f>
        <v>MG-SJ: 3.499,-</v>
      </c>
      <c r="E27" s="14">
        <f ca="1">IFERROR(__xludf.DUMMYFUNCTION("""COMPUTED_VALUE"""),1202)</f>
        <v>1202</v>
      </c>
      <c r="F27" s="14" t="str">
        <f ca="1">IFERROR(__xludf.DUMMYFUNCTION("""COMPUTED_VALUE"""),"Lauge Olsen")</f>
        <v>Lauge Olsen</v>
      </c>
      <c r="G27" s="14" t="str">
        <f ca="1">IFERROR(__xludf.DUMMYFUNCTION("""COMPUTED_VALUE"""),"lso@lokalbolig.dk")</f>
        <v>lso@lokalbolig.dk</v>
      </c>
      <c r="H27" s="14">
        <f ca="1">IFERROR(__xludf.DUMMYFUNCTION("""COMPUTED_VALUE"""),20669604)</f>
        <v>20669604</v>
      </c>
      <c r="I27" s="14" t="str">
        <f ca="1">IFERROR(__xludf.DUMMYFUNCTION("""COMPUTED_VALUE"""),"Egedal Centret 48")</f>
        <v>Egedal Centret 48</v>
      </c>
      <c r="J27" s="14">
        <f ca="1">IFERROR(__xludf.DUMMYFUNCTION("""COMPUTED_VALUE"""),3660)</f>
        <v>3660</v>
      </c>
      <c r="K27" s="14" t="str">
        <f ca="1">IFERROR(__xludf.DUMMYFUNCTION("""COMPUTED_VALUE"""),"Stenløse")</f>
        <v>Stenløse</v>
      </c>
      <c r="L27" s="14" t="str">
        <f ca="1">IFERROR(__xludf.DUMMYFUNCTION("""COMPUTED_VALUE"""),"Egedal")</f>
        <v>Egedal</v>
      </c>
      <c r="M27" s="14" t="str">
        <f ca="1">IFERROR(__xludf.DUMMYFUNCTION("""COMPUTED_VALUE"""),"Nordsjælland")</f>
        <v>Nordsjælland</v>
      </c>
      <c r="N27" s="14" t="str">
        <f ca="1">IFERROR(__xludf.DUMMYFUNCTION("""COMPUTED_VALUE"""),"Hovedstaden")</f>
        <v>Hovedstaden</v>
      </c>
      <c r="O27" s="14">
        <f ca="1">IFERROR(__xludf.DUMMYFUNCTION("""COMPUTED_VALUE"""),47192800)</f>
        <v>47192800</v>
      </c>
      <c r="P27" s="14" t="str">
        <f ca="1">IFERROR(__xludf.DUMMYFUNCTION("""COMPUTED_VALUE"""),"egedal@lokalbolig.dk")</f>
        <v>egedal@lokalbolig.dk</v>
      </c>
      <c r="Q27" s="15" t="str">
        <f ca="1">IFERROR(__xludf.DUMMYFUNCTION("""COMPUTED_VALUE"""),"https://www.boliga.dk/maegler/25196")</f>
        <v>https://www.boliga.dk/maegler/25196</v>
      </c>
      <c r="R27" s="14" t="str">
        <f ca="1">IFERROR(__xludf.DUMMYFUNCTION("""COMPUTED_VALUE"""),"-")</f>
        <v>-</v>
      </c>
      <c r="S27" s="14" t="str">
        <f ca="1">IFERROR(__xludf.DUMMYFUNCTION("""COMPUTED_VALUE"""),"-")</f>
        <v>-</v>
      </c>
      <c r="T27" s="14" t="str">
        <f ca="1">IFERROR(__xludf.DUMMYFUNCTION("""COMPUTED_VALUE"""),"-")</f>
        <v>-</v>
      </c>
      <c r="U27" s="14">
        <f ca="1">IFERROR(__xludf.DUMMYFUNCTION("""COMPUTED_VALUE"""),11)</f>
        <v>11</v>
      </c>
      <c r="V27" s="14" t="str">
        <f ca="1">IFERROR(__xludf.DUMMYFUNCTION("""COMPUTED_VALUE"""),"3550, 3670, 3650, 4040, 3660")</f>
        <v>3550, 3670, 3650, 4040, 3660</v>
      </c>
      <c r="W27" s="14">
        <f ca="1">IFERROR(__xludf.DUMMYFUNCTION("""COMPUTED_VALUE"""),25)</f>
        <v>25</v>
      </c>
      <c r="X27" s="14" t="str">
        <f ca="1">IFERROR(__xludf.DUMMYFUNCTION("""COMPUTED_VALUE"""),"3550, 3670, 3650, 3660")</f>
        <v>3550, 3670, 3650, 3660</v>
      </c>
      <c r="Y27" s="14" t="str">
        <f ca="1">IFERROR(__xludf.DUMMYFUNCTION("""COMPUTED_VALUE"""),"ja")</f>
        <v>ja</v>
      </c>
      <c r="Z27" s="14"/>
      <c r="AA27" s="14"/>
      <c r="AB27" s="14" t="str">
        <f ca="1">IFERROR(__xludf.DUMMYFUNCTION("""COMPUTED_VALUE"""),"x")</f>
        <v>x</v>
      </c>
      <c r="AC27" s="14" t="str">
        <f ca="1">IFERROR(__xludf.DUMMYFUNCTION("""COMPUTED_VALUE"""),"x")</f>
        <v>x</v>
      </c>
    </row>
    <row r="28" spans="1:29" ht="12.5" x14ac:dyDescent="0.25">
      <c r="A28" s="14" t="str">
        <f ca="1">IFERROR(__xludf.DUMMYFUNCTION("""COMPUTED_VALUE"""),"Camilla")</f>
        <v>Camilla</v>
      </c>
      <c r="B28" s="14" t="str">
        <f ca="1">IFERROR(__xludf.DUMMYFUNCTION("""COMPUTED_VALUE"""),"LokalBolig Vejby")</f>
        <v>LokalBolig Vejby</v>
      </c>
      <c r="C28" s="14">
        <f ca="1">IFERROR(__xludf.DUMMYFUNCTION("""COMPUTED_VALUE"""),28506562)</f>
        <v>28506562</v>
      </c>
      <c r="D28" s="14" t="str">
        <f ca="1">IFERROR(__xludf.DUMMYFUNCTION("""COMPUTED_VALUE"""),"MG-SJ: 3.499,-")</f>
        <v>MG-SJ: 3.499,-</v>
      </c>
      <c r="E28" s="14">
        <f ca="1">IFERROR(__xludf.DUMMYFUNCTION("""COMPUTED_VALUE"""),1202)</f>
        <v>1202</v>
      </c>
      <c r="F28" s="14" t="str">
        <f ca="1">IFERROR(__xludf.DUMMYFUNCTION("""COMPUTED_VALUE"""),"Martin Yde")</f>
        <v>Martin Yde</v>
      </c>
      <c r="G28" s="15" t="str">
        <f ca="1">IFERROR(__xludf.DUMMYFUNCTION("""COMPUTED_VALUE"""),"m@lokalbolig.dk")</f>
        <v>m@lokalbolig.dk</v>
      </c>
      <c r="H28" s="14" t="str">
        <f ca="1">IFERROR(__xludf.DUMMYFUNCTION("""COMPUTED_VALUE"""),"22 18 60 00")</f>
        <v>22 18 60 00</v>
      </c>
      <c r="I28" s="14" t="str">
        <f ca="1">IFERROR(__xludf.DUMMYFUNCTION("""COMPUTED_VALUE"""),"Holløselund Strandvej 44")</f>
        <v>Holløselund Strandvej 44</v>
      </c>
      <c r="J28" s="14">
        <f ca="1">IFERROR(__xludf.DUMMYFUNCTION("""COMPUTED_VALUE"""),3210)</f>
        <v>3210</v>
      </c>
      <c r="K28" s="14" t="str">
        <f ca="1">IFERROR(__xludf.DUMMYFUNCTION("""COMPUTED_VALUE"""),"Vejby")</f>
        <v>Vejby</v>
      </c>
      <c r="L28" s="14" t="str">
        <f ca="1">IFERROR(__xludf.DUMMYFUNCTION("""COMPUTED_VALUE"""),"Gribskov")</f>
        <v>Gribskov</v>
      </c>
      <c r="M28" s="14" t="str">
        <f ca="1">IFERROR(__xludf.DUMMYFUNCTION("""COMPUTED_VALUE"""),"Nordsjælland")</f>
        <v>Nordsjælland</v>
      </c>
      <c r="N28" s="14" t="str">
        <f ca="1">IFERROR(__xludf.DUMMYFUNCTION("""COMPUTED_VALUE"""),"Hovedstaden")</f>
        <v>Hovedstaden</v>
      </c>
      <c r="O28" s="14" t="str">
        <f ca="1">IFERROR(__xludf.DUMMYFUNCTION("""COMPUTED_VALUE"""),"48 76 08 80")</f>
        <v>48 76 08 80</v>
      </c>
      <c r="P28" s="14" t="str">
        <f ca="1">IFERROR(__xludf.DUMMYFUNCTION("""COMPUTED_VALUE"""),"Gribskov@lokalbolig.dk")</f>
        <v>Gribskov@lokalbolig.dk</v>
      </c>
      <c r="Q28" s="15" t="str">
        <f ca="1">IFERROR(__xludf.DUMMYFUNCTION("""COMPUTED_VALUE"""),"https://www.boliga.dk/maegler/19257")</f>
        <v>https://www.boliga.dk/maegler/19257</v>
      </c>
      <c r="R28" s="14" t="str">
        <f ca="1">IFERROR(__xludf.DUMMYFUNCTION("""COMPUTED_VALUE"""),"-")</f>
        <v>-</v>
      </c>
      <c r="S28" s="14" t="str">
        <f ca="1">IFERROR(__xludf.DUMMYFUNCTION("""COMPUTED_VALUE"""),"-")</f>
        <v>-</v>
      </c>
      <c r="T28" s="14" t="str">
        <f ca="1">IFERROR(__xludf.DUMMYFUNCTION("""COMPUTED_VALUE"""),"-")</f>
        <v>-</v>
      </c>
      <c r="U28" s="14">
        <f ca="1">IFERROR(__xludf.DUMMYFUNCTION("""COMPUTED_VALUE"""),4)</f>
        <v>4</v>
      </c>
      <c r="V28" s="14" t="str">
        <f ca="1">IFERROR(__xludf.DUMMYFUNCTION("""COMPUTED_VALUE"""),"3300, 3210, 3220")</f>
        <v>3300, 3210, 3220</v>
      </c>
      <c r="W28" s="14">
        <f ca="1">IFERROR(__xludf.DUMMYFUNCTION("""COMPUTED_VALUE"""),14)</f>
        <v>14</v>
      </c>
      <c r="X28" s="14" t="str">
        <f ca="1">IFERROR(__xludf.DUMMYFUNCTION("""COMPUTED_VALUE"""),"3300, 3200, 3210")</f>
        <v>3300, 3200, 3210</v>
      </c>
      <c r="Y28" s="14" t="str">
        <f ca="1">IFERROR(__xludf.DUMMYFUNCTION("""COMPUTED_VALUE"""),"ja")</f>
        <v>ja</v>
      </c>
      <c r="Z28" s="14"/>
      <c r="AA28" s="14"/>
      <c r="AB28" s="14" t="str">
        <f ca="1">IFERROR(__xludf.DUMMYFUNCTION("""COMPUTED_VALUE"""),"x")</f>
        <v>x</v>
      </c>
      <c r="AC28" s="14" t="str">
        <f ca="1">IFERROR(__xludf.DUMMYFUNCTION("""COMPUTED_VALUE"""),"x")</f>
        <v>x</v>
      </c>
    </row>
    <row r="29" spans="1:29" ht="12.5" x14ac:dyDescent="0.25">
      <c r="A29" s="14" t="str">
        <f ca="1">IFERROR(__xludf.DUMMYFUNCTION("""COMPUTED_VALUE"""),"Camilla")</f>
        <v>Camilla</v>
      </c>
      <c r="B29" s="14" t="str">
        <f ca="1">IFERROR(__xludf.DUMMYFUNCTION("""COMPUTED_VALUE"""),"LokalBolig Højbjerg ApS")</f>
        <v>LokalBolig Højbjerg ApS</v>
      </c>
      <c r="C29" s="14">
        <f ca="1">IFERROR(__xludf.DUMMYFUNCTION("""COMPUTED_VALUE"""),38585282)</f>
        <v>38585282</v>
      </c>
      <c r="D29" s="14" t="str">
        <f ca="1">IFERROR(__xludf.DUMMYFUNCTION("""COMPUTED_VALUE"""),"MG-JY: 2.499,-")</f>
        <v>MG-JY: 2.499,-</v>
      </c>
      <c r="E29" s="14">
        <f ca="1">IFERROR(__xludf.DUMMYFUNCTION("""COMPUTED_VALUE"""),1201)</f>
        <v>1201</v>
      </c>
      <c r="F29" s="14" t="str">
        <f ca="1">IFERROR(__xludf.DUMMYFUNCTION("""COMPUTED_VALUE"""),"Morten Pedersen")</f>
        <v>Morten Pedersen</v>
      </c>
      <c r="G29" s="14" t="str">
        <f ca="1">IFERROR(__xludf.DUMMYFUNCTION("""COMPUTED_VALUE"""),"mop@lokalbolig.dk")</f>
        <v>mop@lokalbolig.dk</v>
      </c>
      <c r="H29" s="14" t="str">
        <f ca="1">IFERROR(__xludf.DUMMYFUNCTION("""COMPUTED_VALUE"""),"21 22 98 23")</f>
        <v>21 22 98 23</v>
      </c>
      <c r="I29" s="14" t="str">
        <f ca="1">IFERROR(__xludf.DUMMYFUNCTION("""COMPUTED_VALUE"""),"Rundhøjtorvet 3")</f>
        <v>Rundhøjtorvet 3</v>
      </c>
      <c r="J29" s="14">
        <f ca="1">IFERROR(__xludf.DUMMYFUNCTION("""COMPUTED_VALUE"""),8270)</f>
        <v>8270</v>
      </c>
      <c r="K29" s="14" t="str">
        <f ca="1">IFERROR(__xludf.DUMMYFUNCTION("""COMPUTED_VALUE"""),"Højbjerg")</f>
        <v>Højbjerg</v>
      </c>
      <c r="L29" s="14" t="str">
        <f ca="1">IFERROR(__xludf.DUMMYFUNCTION("""COMPUTED_VALUE"""),"Aarhus")</f>
        <v>Aarhus</v>
      </c>
      <c r="M29" s="14" t="str">
        <f ca="1">IFERROR(__xludf.DUMMYFUNCTION("""COMPUTED_VALUE"""),"Østjylland")</f>
        <v>Østjylland</v>
      </c>
      <c r="N29" s="14" t="str">
        <f ca="1">IFERROR(__xludf.DUMMYFUNCTION("""COMPUTED_VALUE"""),"Midtjylland")</f>
        <v>Midtjylland</v>
      </c>
      <c r="O29" s="14">
        <f ca="1">IFERROR(__xludf.DUMMYFUNCTION("""COMPUTED_VALUE"""),88626424)</f>
        <v>88626424</v>
      </c>
      <c r="P29" s="14" t="str">
        <f ca="1">IFERROR(__xludf.DUMMYFUNCTION("""COMPUTED_VALUE"""),"hoejbjerg@lokalbolig.dk")</f>
        <v>hoejbjerg@lokalbolig.dk</v>
      </c>
      <c r="Q29" s="15" t="str">
        <f ca="1">IFERROR(__xludf.DUMMYFUNCTION("""COMPUTED_VALUE"""),"https://www.boliga.dk/maegler/25222")</f>
        <v>https://www.boliga.dk/maegler/25222</v>
      </c>
      <c r="R29" s="14" t="str">
        <f ca="1">IFERROR(__xludf.DUMMYFUNCTION("""COMPUTED_VALUE"""),"-")</f>
        <v>-</v>
      </c>
      <c r="S29" s="14" t="str">
        <f ca="1">IFERROR(__xludf.DUMMYFUNCTION("""COMPUTED_VALUE"""),"-")</f>
        <v>-</v>
      </c>
      <c r="T29" s="14" t="str">
        <f ca="1">IFERROR(__xludf.DUMMYFUNCTION("""COMPUTED_VALUE"""),"-")</f>
        <v>-</v>
      </c>
      <c r="U29" s="14">
        <f ca="1">IFERROR(__xludf.DUMMYFUNCTION("""COMPUTED_VALUE"""),9)</f>
        <v>9</v>
      </c>
      <c r="V29" s="14" t="str">
        <f ca="1">IFERROR(__xludf.DUMMYFUNCTION("""COMPUTED_VALUE"""),"8270, 8340, 8362, 8330, 8700, 8361")</f>
        <v>8270, 8340, 8362, 8330, 8700, 8361</v>
      </c>
      <c r="W29" s="14">
        <f ca="1">IFERROR(__xludf.DUMMYFUNCTION("""COMPUTED_VALUE"""),2)</f>
        <v>2</v>
      </c>
      <c r="X29" s="14" t="str">
        <f ca="1">IFERROR(__xludf.DUMMYFUNCTION("""COMPUTED_VALUE"""),"8270, 8260")</f>
        <v>8270, 8260</v>
      </c>
      <c r="Y29" s="14" t="str">
        <f ca="1">IFERROR(__xludf.DUMMYFUNCTION("""COMPUTED_VALUE"""),"ja")</f>
        <v>ja</v>
      </c>
      <c r="Z29" s="14"/>
      <c r="AA29" s="14"/>
      <c r="AB29" s="14" t="str">
        <f ca="1">IFERROR(__xludf.DUMMYFUNCTION("""COMPUTED_VALUE"""),"x")</f>
        <v>x</v>
      </c>
      <c r="AC29" s="14" t="str">
        <f ca="1">IFERROR(__xludf.DUMMYFUNCTION("""COMPUTED_VALUE"""),"x")</f>
        <v>x</v>
      </c>
    </row>
    <row r="30" spans="1:29" ht="12.5" x14ac:dyDescent="0.25">
      <c r="A30" s="14" t="str">
        <f ca="1">IFERROR(__xludf.DUMMYFUNCTION("""COMPUTED_VALUE"""),"Camilla")</f>
        <v>Camilla</v>
      </c>
      <c r="B30" s="14" t="str">
        <f ca="1">IFERROR(__xludf.DUMMYFUNCTION("""COMPUTED_VALUE"""),"LokalBolig Aarhus City ApS")</f>
        <v>LokalBolig Aarhus City ApS</v>
      </c>
      <c r="C30" s="14">
        <f ca="1">IFERROR(__xludf.DUMMYFUNCTION("""COMPUTED_VALUE"""),36454660)</f>
        <v>36454660</v>
      </c>
      <c r="D30" s="14" t="str">
        <f ca="1">IFERROR(__xludf.DUMMYFUNCTION("""COMPUTED_VALUE"""),"MG-JY: 2.499,-")</f>
        <v>MG-JY: 2.499,-</v>
      </c>
      <c r="E30" s="14">
        <f ca="1">IFERROR(__xludf.DUMMYFUNCTION("""COMPUTED_VALUE"""),1201)</f>
        <v>1201</v>
      </c>
      <c r="F30" s="14" t="str">
        <f ca="1">IFERROR(__xludf.DUMMYFUNCTION("""COMPUTED_VALUE"""),"Alexander Døssing")</f>
        <v>Alexander Døssing</v>
      </c>
      <c r="G30" s="14" t="str">
        <f ca="1">IFERROR(__xludf.DUMMYFUNCTION("""COMPUTED_VALUE"""),"adj@lokalbolig.dk")</f>
        <v>adj@lokalbolig.dk</v>
      </c>
      <c r="H30" s="14" t="str">
        <f ca="1">IFERROR(__xludf.DUMMYFUNCTION("""COMPUTED_VALUE"""),"29 67 62 46")</f>
        <v>29 67 62 46</v>
      </c>
      <c r="I30" s="14" t="str">
        <f ca="1">IFERROR(__xludf.DUMMYFUNCTION("""COMPUTED_VALUE"""),"Åboulevarden 82")</f>
        <v>Åboulevarden 82</v>
      </c>
      <c r="J30" s="14">
        <f ca="1">IFERROR(__xludf.DUMMYFUNCTION("""COMPUTED_VALUE"""),8000)</f>
        <v>8000</v>
      </c>
      <c r="K30" s="14" t="str">
        <f ca="1">IFERROR(__xludf.DUMMYFUNCTION("""COMPUTED_VALUE"""),"Aarhus C")</f>
        <v>Aarhus C</v>
      </c>
      <c r="L30" s="14" t="str">
        <f ca="1">IFERROR(__xludf.DUMMYFUNCTION("""COMPUTED_VALUE"""),"Aarhus")</f>
        <v>Aarhus</v>
      </c>
      <c r="M30" s="14" t="str">
        <f ca="1">IFERROR(__xludf.DUMMYFUNCTION("""COMPUTED_VALUE"""),"Østjylland")</f>
        <v>Østjylland</v>
      </c>
      <c r="N30" s="14" t="str">
        <f ca="1">IFERROR(__xludf.DUMMYFUNCTION("""COMPUTED_VALUE"""),"Midtjylland")</f>
        <v>Midtjylland</v>
      </c>
      <c r="O30" s="14" t="str">
        <f ca="1">IFERROR(__xludf.DUMMYFUNCTION("""COMPUTED_VALUE"""),"88 44 22 11")</f>
        <v>88 44 22 11</v>
      </c>
      <c r="P30" s="14" t="str">
        <f ca="1">IFERROR(__xludf.DUMMYFUNCTION("""COMPUTED_VALUE"""),"aarhuscity@lokalbolig.dk")</f>
        <v>aarhuscity@lokalbolig.dk</v>
      </c>
      <c r="Q30" s="15" t="str">
        <f ca="1">IFERROR(__xludf.DUMMYFUNCTION("""COMPUTED_VALUE"""),"https://www.boliga.dk/maegler/18900")</f>
        <v>https://www.boliga.dk/maegler/18900</v>
      </c>
      <c r="R30" s="14" t="str">
        <f ca="1">IFERROR(__xludf.DUMMYFUNCTION("""COMPUTED_VALUE"""),"-")</f>
        <v>-</v>
      </c>
      <c r="S30" s="14" t="str">
        <f ca="1">IFERROR(__xludf.DUMMYFUNCTION("""COMPUTED_VALUE"""),"-")</f>
        <v>-</v>
      </c>
      <c r="T30" s="14" t="str">
        <f ca="1">IFERROR(__xludf.DUMMYFUNCTION("""COMPUTED_VALUE"""),"-")</f>
        <v>-</v>
      </c>
      <c r="U30" s="14">
        <f ca="1">IFERROR(__xludf.DUMMYFUNCTION("""COMPUTED_VALUE"""),10)</f>
        <v>10</v>
      </c>
      <c r="V30" s="14" t="str">
        <f ca="1">IFERROR(__xludf.DUMMYFUNCTION("""COMPUTED_VALUE"""),"8000, 8250")</f>
        <v>8000, 8250</v>
      </c>
      <c r="W30" s="14">
        <f ca="1">IFERROR(__xludf.DUMMYFUNCTION("""COMPUTED_VALUE"""),8)</f>
        <v>8</v>
      </c>
      <c r="X30" s="14">
        <f ca="1">IFERROR(__xludf.DUMMYFUNCTION("""COMPUTED_VALUE"""),8000)</f>
        <v>8000</v>
      </c>
      <c r="Y30" s="14" t="str">
        <f ca="1">IFERROR(__xludf.DUMMYFUNCTION("""COMPUTED_VALUE"""),"ja")</f>
        <v>ja</v>
      </c>
      <c r="Z30" s="14"/>
      <c r="AA30" s="14"/>
      <c r="AB30" s="14" t="str">
        <f ca="1">IFERROR(__xludf.DUMMYFUNCTION("""COMPUTED_VALUE"""),"x")</f>
        <v>x</v>
      </c>
      <c r="AC30" s="14" t="str">
        <f ca="1">IFERROR(__xludf.DUMMYFUNCTION("""COMPUTED_VALUE"""),"x")</f>
        <v>x</v>
      </c>
    </row>
    <row r="31" spans="1:29" ht="12.5" x14ac:dyDescent="0.25">
      <c r="A31" s="14" t="str">
        <f ca="1">IFERROR(__xludf.DUMMYFUNCTION("""COMPUTED_VALUE"""),"Camilla")</f>
        <v>Camilla</v>
      </c>
      <c r="B31" s="14" t="str">
        <f ca="1">IFERROR(__xludf.DUMMYFUNCTION("""COMPUTED_VALUE"""),"Lokalbolig Aarhus Vest")</f>
        <v>Lokalbolig Aarhus Vest</v>
      </c>
      <c r="C31" s="14">
        <f ca="1">IFERROR(__xludf.DUMMYFUNCTION("""COMPUTED_VALUE"""),41532122)</f>
        <v>41532122</v>
      </c>
      <c r="D31" s="14" t="str">
        <f ca="1">IFERROR(__xludf.DUMMYFUNCTION("""COMPUTED_VALUE"""),"MG-JY: 2.499,-")</f>
        <v>MG-JY: 2.499,-</v>
      </c>
      <c r="E31" s="14">
        <f ca="1">IFERROR(__xludf.DUMMYFUNCTION("""COMPUTED_VALUE"""),1201)</f>
        <v>1201</v>
      </c>
      <c r="F31" s="14" t="str">
        <f ca="1">IFERROR(__xludf.DUMMYFUNCTION("""COMPUTED_VALUE"""),"Mike Donvild")</f>
        <v>Mike Donvild</v>
      </c>
      <c r="G31" s="14" t="str">
        <f ca="1">IFERROR(__xludf.DUMMYFUNCTION("""COMPUTED_VALUE"""),"mdo@lokalbolig.dk")</f>
        <v>mdo@lokalbolig.dk</v>
      </c>
      <c r="H31" s="14" t="str">
        <f ca="1">IFERROR(__xludf.DUMMYFUNCTION("""COMPUTED_VALUE"""),"42 22 58 98")</f>
        <v>42 22 58 98</v>
      </c>
      <c r="I31" s="14" t="str">
        <f ca="1">IFERROR(__xludf.DUMMYFUNCTION("""COMPUTED_VALUE"""),"Silkeborgvej 245")</f>
        <v>Silkeborgvej 245</v>
      </c>
      <c r="J31" s="14">
        <f ca="1">IFERROR(__xludf.DUMMYFUNCTION("""COMPUTED_VALUE"""),8230)</f>
        <v>8230</v>
      </c>
      <c r="K31" s="14" t="str">
        <f ca="1">IFERROR(__xludf.DUMMYFUNCTION("""COMPUTED_VALUE"""),"Åbyhøj")</f>
        <v>Åbyhøj</v>
      </c>
      <c r="L31" s="14" t="str">
        <f ca="1">IFERROR(__xludf.DUMMYFUNCTION("""COMPUTED_VALUE"""),"Aarhus")</f>
        <v>Aarhus</v>
      </c>
      <c r="M31" s="14" t="str">
        <f ca="1">IFERROR(__xludf.DUMMYFUNCTION("""COMPUTED_VALUE"""),"Østjylland")</f>
        <v>Østjylland</v>
      </c>
      <c r="N31" s="14" t="str">
        <f ca="1">IFERROR(__xludf.DUMMYFUNCTION("""COMPUTED_VALUE"""),"Midtjylland")</f>
        <v>Midtjylland</v>
      </c>
      <c r="O31" s="14">
        <f ca="1">IFERROR(__xludf.DUMMYFUNCTION("""COMPUTED_VALUE"""),88442211)</f>
        <v>88442211</v>
      </c>
      <c r="P31" s="14" t="str">
        <f ca="1">IFERROR(__xludf.DUMMYFUNCTION("""COMPUTED_VALUE"""),"aarhusvest@lokalbolig.dk")</f>
        <v>aarhusvest@lokalbolig.dk</v>
      </c>
      <c r="Q31" s="15" t="str">
        <f ca="1">IFERROR(__xludf.DUMMYFUNCTION("""COMPUTED_VALUE"""),"https://www.boliga.dk/maegler/28357")</f>
        <v>https://www.boliga.dk/maegler/28357</v>
      </c>
      <c r="R31" s="14" t="str">
        <f ca="1">IFERROR(__xludf.DUMMYFUNCTION("""COMPUTED_VALUE"""),"-")</f>
        <v>-</v>
      </c>
      <c r="S31" s="14" t="str">
        <f ca="1">IFERROR(__xludf.DUMMYFUNCTION("""COMPUTED_VALUE"""),"-")</f>
        <v>-</v>
      </c>
      <c r="T31" s="14" t="str">
        <f ca="1">IFERROR(__xludf.DUMMYFUNCTION("""COMPUTED_VALUE"""),"-")</f>
        <v>-</v>
      </c>
      <c r="U31" s="14">
        <f ca="1">IFERROR(__xludf.DUMMYFUNCTION("""COMPUTED_VALUE"""),14)</f>
        <v>14</v>
      </c>
      <c r="V31" s="14" t="str">
        <f ca="1">IFERROR(__xludf.DUMMYFUNCTION("""COMPUTED_VALUE"""),"8220, 8210, 8450, 8230, 8464, 8600")</f>
        <v>8220, 8210, 8450, 8230, 8464, 8600</v>
      </c>
      <c r="W31" s="14">
        <f ca="1">IFERROR(__xludf.DUMMYFUNCTION("""COMPUTED_VALUE"""),6)</f>
        <v>6</v>
      </c>
      <c r="X31" s="14" t="str">
        <f ca="1">IFERROR(__xludf.DUMMYFUNCTION("""COMPUTED_VALUE"""),"8381, 8210, 8220, 8230, 8600")</f>
        <v>8381, 8210, 8220, 8230, 8600</v>
      </c>
      <c r="Y31" s="14" t="str">
        <f ca="1">IFERROR(__xludf.DUMMYFUNCTION("""COMPUTED_VALUE"""),"ja")</f>
        <v>ja</v>
      </c>
      <c r="Z31" s="14"/>
      <c r="AA31" s="14"/>
      <c r="AB31" s="14" t="str">
        <f ca="1">IFERROR(__xludf.DUMMYFUNCTION("""COMPUTED_VALUE"""),"x")</f>
        <v>x</v>
      </c>
      <c r="AC31" s="14" t="str">
        <f ca="1">IFERROR(__xludf.DUMMYFUNCTION("""COMPUTED_VALUE"""),"x")</f>
        <v>x</v>
      </c>
    </row>
    <row r="32" spans="1:29" ht="12.5" x14ac:dyDescent="0.25">
      <c r="A32" s="14" t="str">
        <f ca="1">IFERROR(__xludf.DUMMYFUNCTION("""COMPUTED_VALUE"""),"Camilla ")</f>
        <v xml:space="preserve">Camilla </v>
      </c>
      <c r="B32" s="14" t="str">
        <f ca="1">IFERROR(__xludf.DUMMYFUNCTION("""COMPUTED_VALUE"""),"Lokalbolig Silkeborg")</f>
        <v>Lokalbolig Silkeborg</v>
      </c>
      <c r="C32" s="14">
        <f ca="1">IFERROR(__xludf.DUMMYFUNCTION("""COMPUTED_VALUE"""),42325279)</f>
        <v>42325279</v>
      </c>
      <c r="D32" s="14" t="str">
        <f ca="1">IFERROR(__xludf.DUMMYFUNCTION("""COMPUTED_VALUE"""),"MG-JY: 2.499,-")</f>
        <v>MG-JY: 2.499,-</v>
      </c>
      <c r="E32" s="14">
        <f ca="1">IFERROR(__xludf.DUMMYFUNCTION("""COMPUTED_VALUE"""),1201)</f>
        <v>1201</v>
      </c>
      <c r="F32" s="14" t="str">
        <f ca="1">IFERROR(__xludf.DUMMYFUNCTION("""COMPUTED_VALUE"""),"Tobias Mortensen")</f>
        <v>Tobias Mortensen</v>
      </c>
      <c r="G32" s="14" t="str">
        <f ca="1">IFERROR(__xludf.DUMMYFUNCTION("""COMPUTED_VALUE"""),"tom@lokalbolig.dk")</f>
        <v>tom@lokalbolig.dk</v>
      </c>
      <c r="H32" s="14" t="str">
        <f ca="1">IFERROR(__xludf.DUMMYFUNCTION("""COMPUTED_VALUE"""),"20 90 80 16")</f>
        <v>20 90 80 16</v>
      </c>
      <c r="I32" s="14" t="str">
        <f ca="1">IFERROR(__xludf.DUMMYFUNCTION("""COMPUTED_VALUE"""),"Søtorvet 1")</f>
        <v>Søtorvet 1</v>
      </c>
      <c r="J32" s="14">
        <f ca="1">IFERROR(__xludf.DUMMYFUNCTION("""COMPUTED_VALUE"""),8600)</f>
        <v>8600</v>
      </c>
      <c r="K32" s="14" t="str">
        <f ca="1">IFERROR(__xludf.DUMMYFUNCTION("""COMPUTED_VALUE"""),"Silkeborg")</f>
        <v>Silkeborg</v>
      </c>
      <c r="L32" s="14"/>
      <c r="M32" s="14"/>
      <c r="N32" s="14"/>
      <c r="O32" s="14"/>
      <c r="P32" s="14"/>
      <c r="Q32" s="15" t="str">
        <f ca="1">IFERROR(__xludf.DUMMYFUNCTION("""COMPUTED_VALUE"""),"https://www.boliga.dk/maegler/29086")</f>
        <v>https://www.boliga.dk/maegler/29086</v>
      </c>
      <c r="R32" s="14"/>
      <c r="S32" s="14"/>
      <c r="T32" s="14"/>
      <c r="U32" s="14"/>
      <c r="V32" s="14"/>
      <c r="W32" s="14"/>
      <c r="X32" s="14"/>
      <c r="Y32" s="14" t="str">
        <f ca="1">IFERROR(__xludf.DUMMYFUNCTION("""COMPUTED_VALUE"""),"ja")</f>
        <v>ja</v>
      </c>
      <c r="Z32" s="14"/>
      <c r="AA32" s="14"/>
      <c r="AB32" s="14" t="str">
        <f ca="1">IFERROR(__xludf.DUMMYFUNCTION("""COMPUTED_VALUE"""),"x")</f>
        <v>x</v>
      </c>
      <c r="AC32" s="14" t="str">
        <f ca="1">IFERROR(__xludf.DUMMYFUNCTION("""COMPUTED_VALUE"""),"x")</f>
        <v>x</v>
      </c>
    </row>
    <row r="33" spans="1:29" ht="12.5" x14ac:dyDescent="0.25">
      <c r="A33" s="14" t="str">
        <f ca="1">IFERROR(__xludf.DUMMYFUNCTION("""COMPUTED_VALUE"""),"Camilla")</f>
        <v>Camilla</v>
      </c>
      <c r="B33" s="14" t="str">
        <f ca="1">IFERROR(__xludf.DUMMYFUNCTION("""COMPUTED_VALUE"""),"LokalBolig Ringkøbing A/S")</f>
        <v>LokalBolig Ringkøbing A/S</v>
      </c>
      <c r="C33" s="14">
        <f ca="1">IFERROR(__xludf.DUMMYFUNCTION("""COMPUTED_VALUE"""),40735666)</f>
        <v>40735666</v>
      </c>
      <c r="D33" s="14" t="str">
        <f ca="1">IFERROR(__xludf.DUMMYFUNCTION("""COMPUTED_VALUE"""),"MG-JY: 2.499,-")</f>
        <v>MG-JY: 2.499,-</v>
      </c>
      <c r="E33" s="14">
        <f ca="1">IFERROR(__xludf.DUMMYFUNCTION("""COMPUTED_VALUE"""),1201)</f>
        <v>1201</v>
      </c>
      <c r="F33" s="14" t="str">
        <f ca="1">IFERROR(__xludf.DUMMYFUNCTION("""COMPUTED_VALUE"""),"Mikael Sørensen")</f>
        <v>Mikael Sørensen</v>
      </c>
      <c r="G33" s="14" t="str">
        <f ca="1">IFERROR(__xludf.DUMMYFUNCTION("""COMPUTED_VALUE"""),"mss@lokalbolig.dk")</f>
        <v>mss@lokalbolig.dk</v>
      </c>
      <c r="H33" s="14" t="str">
        <f ca="1">IFERROR(__xludf.DUMMYFUNCTION("""COMPUTED_VALUE"""),"30 73 55 03")</f>
        <v>30 73 55 03</v>
      </c>
      <c r="I33" s="14" t="str">
        <f ca="1">IFERROR(__xludf.DUMMYFUNCTION("""COMPUTED_VALUE"""),"Nygade 28C")</f>
        <v>Nygade 28C</v>
      </c>
      <c r="J33" s="14">
        <f ca="1">IFERROR(__xludf.DUMMYFUNCTION("""COMPUTED_VALUE"""),6950)</f>
        <v>6950</v>
      </c>
      <c r="K33" s="14" t="str">
        <f ca="1">IFERROR(__xludf.DUMMYFUNCTION("""COMPUTED_VALUE"""),"Ringkøbing")</f>
        <v>Ringkøbing</v>
      </c>
      <c r="L33" s="14" t="str">
        <f ca="1">IFERROR(__xludf.DUMMYFUNCTION("""COMPUTED_VALUE"""),"Ringkøbing-Skjern")</f>
        <v>Ringkøbing-Skjern</v>
      </c>
      <c r="M33" s="14" t="str">
        <f ca="1">IFERROR(__xludf.DUMMYFUNCTION("""COMPUTED_VALUE"""),"Vestjylland")</f>
        <v>Vestjylland</v>
      </c>
      <c r="N33" s="14" t="str">
        <f ca="1">IFERROR(__xludf.DUMMYFUNCTION("""COMPUTED_VALUE"""),"Midtjylland")</f>
        <v>Midtjylland</v>
      </c>
      <c r="O33" s="14">
        <f ca="1">IFERROR(__xludf.DUMMYFUNCTION("""COMPUTED_VALUE"""),97323233)</f>
        <v>97323233</v>
      </c>
      <c r="P33" s="14" t="str">
        <f ca="1">IFERROR(__xludf.DUMMYFUNCTION("""COMPUTED_VALUE"""),"ringkoebing@lokalbolig.dk")</f>
        <v>ringkoebing@lokalbolig.dk</v>
      </c>
      <c r="Q33" s="15" t="str">
        <f ca="1">IFERROR(__xludf.DUMMYFUNCTION("""COMPUTED_VALUE"""),"https://www.boliga.dk/maegler/26056")</f>
        <v>https://www.boliga.dk/maegler/26056</v>
      </c>
      <c r="R33" s="14" t="str">
        <f ca="1">IFERROR(__xludf.DUMMYFUNCTION("""COMPUTED_VALUE"""),"-")</f>
        <v>-</v>
      </c>
      <c r="S33" s="14" t="str">
        <f ca="1">IFERROR(__xludf.DUMMYFUNCTION("""COMPUTED_VALUE"""),"-")</f>
        <v>-</v>
      </c>
      <c r="T33" s="14" t="str">
        <f ca="1">IFERROR(__xludf.DUMMYFUNCTION("""COMPUTED_VALUE"""),"-")</f>
        <v>-</v>
      </c>
      <c r="U33" s="14">
        <f ca="1">IFERROR(__xludf.DUMMYFUNCTION("""COMPUTED_VALUE"""),40)</f>
        <v>40</v>
      </c>
      <c r="V33" s="14" t="str">
        <f ca="1">IFERROR(__xludf.DUMMYFUNCTION("""COMPUTED_VALUE"""),"6900, 6980, 6940, 6960, 6950, 6990")</f>
        <v>6900, 6980, 6940, 6960, 6950, 6990</v>
      </c>
      <c r="W33" s="14">
        <f ca="1">IFERROR(__xludf.DUMMYFUNCTION("""COMPUTED_VALUE"""),40)</f>
        <v>40</v>
      </c>
      <c r="X33" s="14" t="str">
        <f ca="1">IFERROR(__xludf.DUMMYFUNCTION("""COMPUTED_VALUE"""),"6980, 6940, 6960, 6950")</f>
        <v>6980, 6940, 6960, 6950</v>
      </c>
      <c r="Y33" s="14" t="str">
        <f ca="1">IFERROR(__xludf.DUMMYFUNCTION("""COMPUTED_VALUE"""),"ja")</f>
        <v>ja</v>
      </c>
      <c r="Z33" s="14"/>
      <c r="AA33" s="14"/>
      <c r="AB33" s="14" t="str">
        <f ca="1">IFERROR(__xludf.DUMMYFUNCTION("""COMPUTED_VALUE"""),"x")</f>
        <v>x</v>
      </c>
      <c r="AC33" s="14" t="str">
        <f ca="1">IFERROR(__xludf.DUMMYFUNCTION("""COMPUTED_VALUE"""),"x")</f>
        <v>x</v>
      </c>
    </row>
    <row r="34" spans="1:29" ht="12.5" x14ac:dyDescent="0.25">
      <c r="A34" s="14" t="str">
        <f ca="1">IFERROR(__xludf.DUMMYFUNCTION("""COMPUTED_VALUE"""),"Camilla")</f>
        <v>Camilla</v>
      </c>
      <c r="B34" s="14" t="str">
        <f ca="1">IFERROR(__xludf.DUMMYFUNCTION("""COMPUTED_VALUE"""),"Lokalbolig Viborg ApS")</f>
        <v>Lokalbolig Viborg ApS</v>
      </c>
      <c r="C34" s="14">
        <f ca="1">IFERROR(__xludf.DUMMYFUNCTION("""COMPUTED_VALUE"""),38764969)</f>
        <v>38764969</v>
      </c>
      <c r="D34" s="14" t="str">
        <f ca="1">IFERROR(__xludf.DUMMYFUNCTION("""COMPUTED_VALUE"""),"MG-JY: 2.499,-")</f>
        <v>MG-JY: 2.499,-</v>
      </c>
      <c r="E34" s="14">
        <f ca="1">IFERROR(__xludf.DUMMYFUNCTION("""COMPUTED_VALUE"""),1201)</f>
        <v>1201</v>
      </c>
      <c r="F34" s="14" t="str">
        <f ca="1">IFERROR(__xludf.DUMMYFUNCTION("""COMPUTED_VALUE"""),"Jesper Koustrup")</f>
        <v>Jesper Koustrup</v>
      </c>
      <c r="G34" s="14" t="str">
        <f ca="1">IFERROR(__xludf.DUMMYFUNCTION("""COMPUTED_VALUE"""),"jk@lokalbolig.dk")</f>
        <v>jk@lokalbolig.dk</v>
      </c>
      <c r="H34" s="14" t="str">
        <f ca="1">IFERROR(__xludf.DUMMYFUNCTION("""COMPUTED_VALUE"""),"30 59 11 17")</f>
        <v>30 59 11 17</v>
      </c>
      <c r="I34" s="14" t="str">
        <f ca="1">IFERROR(__xludf.DUMMYFUNCTION("""COMPUTED_VALUE"""),"Farvervej 2F")</f>
        <v>Farvervej 2F</v>
      </c>
      <c r="J34" s="14">
        <f ca="1">IFERROR(__xludf.DUMMYFUNCTION("""COMPUTED_VALUE"""),8800)</f>
        <v>8800</v>
      </c>
      <c r="K34" s="14" t="str">
        <f ca="1">IFERROR(__xludf.DUMMYFUNCTION("""COMPUTED_VALUE"""),"Viborg")</f>
        <v>Viborg</v>
      </c>
      <c r="L34" s="14" t="str">
        <f ca="1">IFERROR(__xludf.DUMMYFUNCTION("""COMPUTED_VALUE"""),"Viborg")</f>
        <v>Viborg</v>
      </c>
      <c r="M34" s="14" t="str">
        <f ca="1">IFERROR(__xludf.DUMMYFUNCTION("""COMPUTED_VALUE"""),"Vestjylland")</f>
        <v>Vestjylland</v>
      </c>
      <c r="N34" s="14" t="str">
        <f ca="1">IFERROR(__xludf.DUMMYFUNCTION("""COMPUTED_VALUE"""),"Midtjylland")</f>
        <v>Midtjylland</v>
      </c>
      <c r="O34" s="14">
        <f ca="1">IFERROR(__xludf.DUMMYFUNCTION("""COMPUTED_VALUE"""),86408800)</f>
        <v>86408800</v>
      </c>
      <c r="P34" s="14" t="str">
        <f ca="1">IFERROR(__xludf.DUMMYFUNCTION("""COMPUTED_VALUE"""),"viborg@lokalbolig.dk")</f>
        <v>viborg@lokalbolig.dk</v>
      </c>
      <c r="Q34" s="15" t="str">
        <f ca="1">IFERROR(__xludf.DUMMYFUNCTION("""COMPUTED_VALUE"""),"https://www.boliga.dk/maegler/23561")</f>
        <v>https://www.boliga.dk/maegler/23561</v>
      </c>
      <c r="R34" s="14" t="str">
        <f ca="1">IFERROR(__xludf.DUMMYFUNCTION("""COMPUTED_VALUE"""),"-")</f>
        <v>-</v>
      </c>
      <c r="S34" s="14" t="str">
        <f ca="1">IFERROR(__xludf.DUMMYFUNCTION("""COMPUTED_VALUE"""),"-")</f>
        <v>-</v>
      </c>
      <c r="T34" s="14" t="str">
        <f ca="1">IFERROR(__xludf.DUMMYFUNCTION("""COMPUTED_VALUE"""),"-")</f>
        <v>-</v>
      </c>
      <c r="U34" s="14">
        <f ca="1">IFERROR(__xludf.DUMMYFUNCTION("""COMPUTED_VALUE"""),42)</f>
        <v>42</v>
      </c>
      <c r="V34" s="14" t="str">
        <f ca="1">IFERROR(__xludf.DUMMYFUNCTION("""COMPUTED_VALUE"""),"8832, 8831, 8800, 8830, 7850")</f>
        <v>8832, 8831, 8800, 8830, 7850</v>
      </c>
      <c r="W34" s="14">
        <f ca="1">IFERROR(__xludf.DUMMYFUNCTION("""COMPUTED_VALUE"""),35)</f>
        <v>35</v>
      </c>
      <c r="X34" s="14" t="str">
        <f ca="1">IFERROR(__xludf.DUMMYFUNCTION("""COMPUTED_VALUE"""),"9640, 8831, 7470, 8830, 8800")</f>
        <v>9640, 8831, 7470, 8830, 8800</v>
      </c>
      <c r="Y34" s="14" t="str">
        <f ca="1">IFERROR(__xludf.DUMMYFUNCTION("""COMPUTED_VALUE"""),"ja")</f>
        <v>ja</v>
      </c>
      <c r="Z34" s="14"/>
      <c r="AA34" s="14"/>
      <c r="AB34" s="14" t="str">
        <f ca="1">IFERROR(__xludf.DUMMYFUNCTION("""COMPUTED_VALUE"""),"x")</f>
        <v>x</v>
      </c>
      <c r="AC34" s="14" t="str">
        <f ca="1">IFERROR(__xludf.DUMMYFUNCTION("""COMPUTED_VALUE"""),"x")</f>
        <v>x</v>
      </c>
    </row>
    <row r="35" spans="1:29" ht="12.5" x14ac:dyDescent="0.25">
      <c r="A35" s="14" t="str">
        <f ca="1">IFERROR(__xludf.DUMMYFUNCTION("""COMPUTED_VALUE"""),"Camilla")</f>
        <v>Camilla</v>
      </c>
      <c r="B35" s="14" t="str">
        <f ca="1">IFERROR(__xludf.DUMMYFUNCTION("""COMPUTED_VALUE"""),"Lokalbolig Aalborg")</f>
        <v>Lokalbolig Aalborg</v>
      </c>
      <c r="C35" s="14">
        <f ca="1">IFERROR(__xludf.DUMMYFUNCTION("""COMPUTED_VALUE"""),31608104)</f>
        <v>31608104</v>
      </c>
      <c r="D35" s="14" t="str">
        <f ca="1">IFERROR(__xludf.DUMMYFUNCTION("""COMPUTED_VALUE"""),"MG-JY: 2.499,-")</f>
        <v>MG-JY: 2.499,-</v>
      </c>
      <c r="E35" s="14">
        <f ca="1">IFERROR(__xludf.DUMMYFUNCTION("""COMPUTED_VALUE"""),1201)</f>
        <v>1201</v>
      </c>
      <c r="F35" s="14" t="str">
        <f ca="1">IFERROR(__xludf.DUMMYFUNCTION("""COMPUTED_VALUE"""),"Claus Nyrup")</f>
        <v>Claus Nyrup</v>
      </c>
      <c r="G35" s="14" t="str">
        <f ca="1">IFERROR(__xludf.DUMMYFUNCTION("""COMPUTED_VALUE"""),"cni@lokalbolig.dk")</f>
        <v>cni@lokalbolig.dk</v>
      </c>
      <c r="H35" s="14" t="str">
        <f ca="1">IFERROR(__xludf.DUMMYFUNCTION("""COMPUTED_VALUE"""),"30 80 99 00")</f>
        <v>30 80 99 00</v>
      </c>
      <c r="I35" s="14" t="str">
        <f ca="1">IFERROR(__xludf.DUMMYFUNCTION("""COMPUTED_VALUE"""),"Kong Christians Allé 37")</f>
        <v>Kong Christians Allé 37</v>
      </c>
      <c r="J35" s="14">
        <f ca="1">IFERROR(__xludf.DUMMYFUNCTION("""COMPUTED_VALUE"""),9000)</f>
        <v>9000</v>
      </c>
      <c r="K35" s="14" t="str">
        <f ca="1">IFERROR(__xludf.DUMMYFUNCTION("""COMPUTED_VALUE"""),"Aalborg")</f>
        <v>Aalborg</v>
      </c>
      <c r="L35" s="14" t="str">
        <f ca="1">IFERROR(__xludf.DUMMYFUNCTION("""COMPUTED_VALUE"""),"Aalborg")</f>
        <v>Aalborg</v>
      </c>
      <c r="M35" s="14" t="str">
        <f ca="1">IFERROR(__xludf.DUMMYFUNCTION("""COMPUTED_VALUE"""),"Nordjylland")</f>
        <v>Nordjylland</v>
      </c>
      <c r="N35" s="14" t="str">
        <f ca="1">IFERROR(__xludf.DUMMYFUNCTION("""COMPUTED_VALUE"""),"Nordjylland")</f>
        <v>Nordjylland</v>
      </c>
      <c r="O35" s="14">
        <f ca="1">IFERROR(__xludf.DUMMYFUNCTION("""COMPUTED_VALUE"""),70602019)</f>
        <v>70602019</v>
      </c>
      <c r="P35" s="14" t="str">
        <f ca="1">IFERROR(__xludf.DUMMYFUNCTION("""COMPUTED_VALUE"""),"aalborg@lokalbolig.dk")</f>
        <v>aalborg@lokalbolig.dk</v>
      </c>
      <c r="Q35" s="15" t="str">
        <f ca="1">IFERROR(__xludf.DUMMYFUNCTION("""COMPUTED_VALUE"""),"https://www.boliga.dk/maegler/25590")</f>
        <v>https://www.boliga.dk/maegler/25590</v>
      </c>
      <c r="R35" s="14" t="str">
        <f ca="1">IFERROR(__xludf.DUMMYFUNCTION("""COMPUTED_VALUE"""),"-")</f>
        <v>-</v>
      </c>
      <c r="S35" s="14" t="str">
        <f ca="1">IFERROR(__xludf.DUMMYFUNCTION("""COMPUTED_VALUE"""),"-")</f>
        <v>-</v>
      </c>
      <c r="T35" s="14" t="str">
        <f ca="1">IFERROR(__xludf.DUMMYFUNCTION("""COMPUTED_VALUE"""),"-")</f>
        <v>-</v>
      </c>
      <c r="U35" s="14">
        <f ca="1">IFERROR(__xludf.DUMMYFUNCTION("""COMPUTED_VALUE"""),14)</f>
        <v>14</v>
      </c>
      <c r="V35" s="14" t="str">
        <f ca="1">IFERROR(__xludf.DUMMYFUNCTION("""COMPUTED_VALUE"""),"9260, 9000, 9382, 9200, 9480, 9492")</f>
        <v>9260, 9000, 9382, 9200, 9480, 9492</v>
      </c>
      <c r="W35" s="14">
        <f ca="1">IFERROR(__xludf.DUMMYFUNCTION("""COMPUTED_VALUE"""),4)</f>
        <v>4</v>
      </c>
      <c r="X35" s="14" t="str">
        <f ca="1">IFERROR(__xludf.DUMMYFUNCTION("""COMPUTED_VALUE"""),"9700, 9000, 9200")</f>
        <v>9700, 9000, 9200</v>
      </c>
      <c r="Y35" s="14" t="str">
        <f ca="1">IFERROR(__xludf.DUMMYFUNCTION("""COMPUTED_VALUE"""),"ja")</f>
        <v>ja</v>
      </c>
      <c r="Z35" s="14"/>
      <c r="AA35" s="14"/>
      <c r="AB35" s="14" t="str">
        <f ca="1">IFERROR(__xludf.DUMMYFUNCTION("""COMPUTED_VALUE"""),"x")</f>
        <v>x</v>
      </c>
      <c r="AC35" s="14" t="str">
        <f ca="1">IFERROR(__xludf.DUMMYFUNCTION("""COMPUTED_VALUE"""),"x")</f>
        <v>x</v>
      </c>
    </row>
    <row r="36" spans="1:29" ht="12.5" x14ac:dyDescent="0.25">
      <c r="A36" s="14" t="str">
        <f ca="1">IFERROR(__xludf.DUMMYFUNCTION("""COMPUTED_VALUE"""),"Camilla")</f>
        <v>Camilla</v>
      </c>
      <c r="B36" s="14" t="str">
        <f ca="1">IFERROR(__xludf.DUMMYFUNCTION("""COMPUTED_VALUE"""),"LokalBolig Køge ApS")</f>
        <v>LokalBolig Køge ApS</v>
      </c>
      <c r="C36" s="14">
        <f ca="1">IFERROR(__xludf.DUMMYFUNCTION("""COMPUTED_VALUE"""),34598444)</f>
        <v>34598444</v>
      </c>
      <c r="D36" s="14" t="str">
        <f ca="1">IFERROR(__xludf.DUMMYFUNCTION("""COMPUTED_VALUE"""),"MG-SJ: 3.499,-")</f>
        <v>MG-SJ: 3.499,-</v>
      </c>
      <c r="E36" s="14">
        <f ca="1">IFERROR(__xludf.DUMMYFUNCTION("""COMPUTED_VALUE"""),1202)</f>
        <v>1202</v>
      </c>
      <c r="F36" s="14" t="str">
        <f ca="1">IFERROR(__xludf.DUMMYFUNCTION("""COMPUTED_VALUE"""),"Kenn Riel")</f>
        <v>Kenn Riel</v>
      </c>
      <c r="G36" s="14" t="str">
        <f ca="1">IFERROR(__xludf.DUMMYFUNCTION("""COMPUTED_VALUE"""),"kr@lokalbolig.dk")</f>
        <v>kr@lokalbolig.dk</v>
      </c>
      <c r="H36" s="14" t="str">
        <f ca="1">IFERROR(__xludf.DUMMYFUNCTION("""COMPUTED_VALUE"""),"26 14 03 39")</f>
        <v>26 14 03 39</v>
      </c>
      <c r="I36" s="14" t="str">
        <f ca="1">IFERROR(__xludf.DUMMYFUNCTION("""COMPUTED_VALUE"""),"Søndre Allé 7")</f>
        <v>Søndre Allé 7</v>
      </c>
      <c r="J36" s="14">
        <f ca="1">IFERROR(__xludf.DUMMYFUNCTION("""COMPUTED_VALUE"""),4600)</f>
        <v>4600</v>
      </c>
      <c r="K36" s="14" t="str">
        <f ca="1">IFERROR(__xludf.DUMMYFUNCTION("""COMPUTED_VALUE"""),"Køge")</f>
        <v>Køge</v>
      </c>
      <c r="L36" s="14" t="str">
        <f ca="1">IFERROR(__xludf.DUMMYFUNCTION("""COMPUTED_VALUE"""),"Køge")</f>
        <v>Køge</v>
      </c>
      <c r="M36" s="14" t="str">
        <f ca="1">IFERROR(__xludf.DUMMYFUNCTION("""COMPUTED_VALUE"""),"Østsjælland")</f>
        <v>Østsjælland</v>
      </c>
      <c r="N36" s="14" t="str">
        <f ca="1">IFERROR(__xludf.DUMMYFUNCTION("""COMPUTED_VALUE"""),"Sjælland")</f>
        <v>Sjælland</v>
      </c>
      <c r="O36" s="14" t="str">
        <f ca="1">IFERROR(__xludf.DUMMYFUNCTION("""COMPUTED_VALUE"""),"56 63 03 39")</f>
        <v>56 63 03 39</v>
      </c>
      <c r="P36" s="14" t="str">
        <f ca="1">IFERROR(__xludf.DUMMYFUNCTION("""COMPUTED_VALUE"""),"koege@lokalbolig.dk")</f>
        <v>koege@lokalbolig.dk</v>
      </c>
      <c r="Q36" s="15" t="str">
        <f ca="1">IFERROR(__xludf.DUMMYFUNCTION("""COMPUTED_VALUE"""),"https://www.boliga.dk/maegler/19250")</f>
        <v>https://www.boliga.dk/maegler/19250</v>
      </c>
      <c r="R36" s="14" t="str">
        <f ca="1">IFERROR(__xludf.DUMMYFUNCTION("""COMPUTED_VALUE"""),"-")</f>
        <v>-</v>
      </c>
      <c r="S36" s="14" t="str">
        <f ca="1">IFERROR(__xludf.DUMMYFUNCTION("""COMPUTED_VALUE"""),"-")</f>
        <v>-</v>
      </c>
      <c r="T36" s="14" t="str">
        <f ca="1">IFERROR(__xludf.DUMMYFUNCTION("""COMPUTED_VALUE"""),"-")</f>
        <v>-</v>
      </c>
      <c r="U36" s="14">
        <f ca="1">IFERROR(__xludf.DUMMYFUNCTION("""COMPUTED_VALUE"""),28)</f>
        <v>28</v>
      </c>
      <c r="V36" s="14" t="str">
        <f ca="1">IFERROR(__xludf.DUMMYFUNCTION("""COMPUTED_VALUE"""),"4673, 4600, 4681, 4672, 4632, 4623, 4690, 4683, 4652, 4671, 4682")</f>
        <v>4673, 4600, 4681, 4672, 4632, 4623, 4690, 4683, 4652, 4671, 4682</v>
      </c>
      <c r="W36" s="14">
        <f ca="1">IFERROR(__xludf.DUMMYFUNCTION("""COMPUTED_VALUE"""),22)</f>
        <v>22</v>
      </c>
      <c r="X36" s="14" t="str">
        <f ca="1">IFERROR(__xludf.DUMMYFUNCTION("""COMPUTED_VALUE"""),"4681, 4600, 4571, 4632, 4623, 4652, 4671")</f>
        <v>4681, 4600, 4571, 4632, 4623, 4652, 4671</v>
      </c>
      <c r="Y36" s="14" t="str">
        <f ca="1">IFERROR(__xludf.DUMMYFUNCTION("""COMPUTED_VALUE"""),"ja")</f>
        <v>ja</v>
      </c>
      <c r="Z36" s="14"/>
      <c r="AA36" s="14"/>
      <c r="AB36" s="14" t="str">
        <f ca="1">IFERROR(__xludf.DUMMYFUNCTION("""COMPUTED_VALUE"""),"x")</f>
        <v>x</v>
      </c>
      <c r="AC36" s="14" t="str">
        <f ca="1">IFERROR(__xludf.DUMMYFUNCTION("""COMPUTED_VALUE"""),"x")</f>
        <v>x</v>
      </c>
    </row>
    <row r="37" spans="1:29" ht="12.5" x14ac:dyDescent="0.25">
      <c r="A37" s="14" t="str">
        <f ca="1">IFERROR(__xludf.DUMMYFUNCTION("""COMPUTED_VALUE"""),"Camilla")</f>
        <v>Camilla</v>
      </c>
      <c r="B37" s="14" t="str">
        <f ca="1">IFERROR(__xludf.DUMMYFUNCTION("""COMPUTED_VALUE"""),"LokalBolig Roskilde ApS")</f>
        <v>LokalBolig Roskilde ApS</v>
      </c>
      <c r="C37" s="14">
        <f ca="1">IFERROR(__xludf.DUMMYFUNCTION("""COMPUTED_VALUE"""),32944957)</f>
        <v>32944957</v>
      </c>
      <c r="D37" s="14" t="str">
        <f ca="1">IFERROR(__xludf.DUMMYFUNCTION("""COMPUTED_VALUE"""),"MG-SJ: 3.499,-")</f>
        <v>MG-SJ: 3.499,-</v>
      </c>
      <c r="E37" s="14">
        <f ca="1">IFERROR(__xludf.DUMMYFUNCTION("""COMPUTED_VALUE"""),1202)</f>
        <v>1202</v>
      </c>
      <c r="F37" s="14" t="str">
        <f ca="1">IFERROR(__xludf.DUMMYFUNCTION("""COMPUTED_VALUE"""),"Remi Cuber")</f>
        <v>Remi Cuber</v>
      </c>
      <c r="G37" s="14" t="str">
        <f ca="1">IFERROR(__xludf.DUMMYFUNCTION("""COMPUTED_VALUE"""),"rc@lokalbolig.dk")</f>
        <v>rc@lokalbolig.dk</v>
      </c>
      <c r="H37" s="14" t="str">
        <f ca="1">IFERROR(__xludf.DUMMYFUNCTION("""COMPUTED_VALUE"""),"28 91 31 00")</f>
        <v>28 91 31 00</v>
      </c>
      <c r="I37" s="14" t="str">
        <f ca="1">IFERROR(__xludf.DUMMYFUNCTION("""COMPUTED_VALUE"""),"Københavnsvej 4")</f>
        <v>Københavnsvej 4</v>
      </c>
      <c r="J37" s="14">
        <f ca="1">IFERROR(__xludf.DUMMYFUNCTION("""COMPUTED_VALUE"""),4000)</f>
        <v>4000</v>
      </c>
      <c r="K37" s="14" t="str">
        <f ca="1">IFERROR(__xludf.DUMMYFUNCTION("""COMPUTED_VALUE"""),"Roskilde")</f>
        <v>Roskilde</v>
      </c>
      <c r="L37" s="14" t="str">
        <f ca="1">IFERROR(__xludf.DUMMYFUNCTION("""COMPUTED_VALUE"""),"Roskilde")</f>
        <v>Roskilde</v>
      </c>
      <c r="M37" s="14" t="str">
        <f ca="1">IFERROR(__xludf.DUMMYFUNCTION("""COMPUTED_VALUE"""),"Østsjælland")</f>
        <v>Østsjælland</v>
      </c>
      <c r="N37" s="14" t="str">
        <f ca="1">IFERROR(__xludf.DUMMYFUNCTION("""COMPUTED_VALUE"""),"Sjælland")</f>
        <v>Sjælland</v>
      </c>
      <c r="O37" s="14" t="str">
        <f ca="1">IFERROR(__xludf.DUMMYFUNCTION("""COMPUTED_VALUE"""),"46 32 32 42")</f>
        <v>46 32 32 42</v>
      </c>
      <c r="P37" s="14" t="str">
        <f ca="1">IFERROR(__xludf.DUMMYFUNCTION("""COMPUTED_VALUE"""),"roskilde@lokalbolig.dk")</f>
        <v>roskilde@lokalbolig.dk</v>
      </c>
      <c r="Q37" s="15" t="str">
        <f ca="1">IFERROR(__xludf.DUMMYFUNCTION("""COMPUTED_VALUE"""),"https://www.boliga.dk/maegler/19254")</f>
        <v>https://www.boliga.dk/maegler/19254</v>
      </c>
      <c r="R37" s="14" t="str">
        <f ca="1">IFERROR(__xludf.DUMMYFUNCTION("""COMPUTED_VALUE"""),"-")</f>
        <v>-</v>
      </c>
      <c r="S37" s="14" t="str">
        <f ca="1">IFERROR(__xludf.DUMMYFUNCTION("""COMPUTED_VALUE"""),"-")</f>
        <v>-</v>
      </c>
      <c r="T37" s="14" t="str">
        <f ca="1">IFERROR(__xludf.DUMMYFUNCTION("""COMPUTED_VALUE"""),"-")</f>
        <v>-</v>
      </c>
      <c r="U37" s="14">
        <f ca="1">IFERROR(__xludf.DUMMYFUNCTION("""COMPUTED_VALUE"""),27)</f>
        <v>27</v>
      </c>
      <c r="V37" s="14" t="str">
        <f ca="1">IFERROR(__xludf.DUMMYFUNCTION("""COMPUTED_VALUE"""),"4320, 4000")</f>
        <v>4320, 4000</v>
      </c>
      <c r="W37" s="14">
        <f ca="1">IFERROR(__xludf.DUMMYFUNCTION("""COMPUTED_VALUE"""),12)</f>
        <v>12</v>
      </c>
      <c r="X37" s="14">
        <f ca="1">IFERROR(__xludf.DUMMYFUNCTION("""COMPUTED_VALUE"""),4000)</f>
        <v>4000</v>
      </c>
      <c r="Y37" s="14" t="str">
        <f ca="1">IFERROR(__xludf.DUMMYFUNCTION("""COMPUTED_VALUE"""),"ja")</f>
        <v>ja</v>
      </c>
      <c r="Z37" s="14"/>
      <c r="AA37" s="14"/>
      <c r="AB37" s="14" t="str">
        <f ca="1">IFERROR(__xludf.DUMMYFUNCTION("""COMPUTED_VALUE"""),"x")</f>
        <v>x</v>
      </c>
      <c r="AC37" s="14" t="str">
        <f ca="1">IFERROR(__xludf.DUMMYFUNCTION("""COMPUTED_VALUE"""),"x")</f>
        <v>x</v>
      </c>
    </row>
    <row r="38" spans="1:29" ht="12.5" x14ac:dyDescent="0.25">
      <c r="A38" s="14" t="str">
        <f ca="1">IFERROR(__xludf.DUMMYFUNCTION("""COMPUTED_VALUE"""),"Camilla")</f>
        <v>Camilla</v>
      </c>
      <c r="B38" s="14" t="str">
        <f ca="1">IFERROR(__xludf.DUMMYFUNCTION("""COMPUTED_VALUE"""),"LokalBolig Næstved ApS")</f>
        <v>LokalBolig Næstved ApS</v>
      </c>
      <c r="C38" s="14">
        <f ca="1">IFERROR(__xludf.DUMMYFUNCTION("""COMPUTED_VALUE"""),35389369)</f>
        <v>35389369</v>
      </c>
      <c r="D38" s="14" t="str">
        <f ca="1">IFERROR(__xludf.DUMMYFUNCTION("""COMPUTED_VALUE"""),"MG-SJ: 3.499,-")</f>
        <v>MG-SJ: 3.499,-</v>
      </c>
      <c r="E38" s="14">
        <f ca="1">IFERROR(__xludf.DUMMYFUNCTION("""COMPUTED_VALUE"""),1202)</f>
        <v>1202</v>
      </c>
      <c r="F38" s="14" t="str">
        <f ca="1">IFERROR(__xludf.DUMMYFUNCTION("""COMPUTED_VALUE"""),"Pia Hansen")</f>
        <v>Pia Hansen</v>
      </c>
      <c r="G38" s="14" t="str">
        <f ca="1">IFERROR(__xludf.DUMMYFUNCTION("""COMPUTED_VALUE"""),"psh@lokalbolig.dk")</f>
        <v>psh@lokalbolig.dk</v>
      </c>
      <c r="H38" s="14" t="str">
        <f ca="1">IFERROR(__xludf.DUMMYFUNCTION("""COMPUTED_VALUE"""),"29 29 12 22")</f>
        <v>29 29 12 22</v>
      </c>
      <c r="I38" s="14" t="str">
        <f ca="1">IFERROR(__xludf.DUMMYFUNCTION("""COMPUTED_VALUE"""),"Ringstedgade 30")</f>
        <v>Ringstedgade 30</v>
      </c>
      <c r="J38" s="14">
        <f ca="1">IFERROR(__xludf.DUMMYFUNCTION("""COMPUTED_VALUE"""),4700)</f>
        <v>4700</v>
      </c>
      <c r="K38" s="14" t="str">
        <f ca="1">IFERROR(__xludf.DUMMYFUNCTION("""COMPUTED_VALUE"""),"Næstved")</f>
        <v>Næstved</v>
      </c>
      <c r="L38" s="14" t="str">
        <f ca="1">IFERROR(__xludf.DUMMYFUNCTION("""COMPUTED_VALUE"""),"Næstved")</f>
        <v>Næstved</v>
      </c>
      <c r="M38" s="14" t="str">
        <f ca="1">IFERROR(__xludf.DUMMYFUNCTION("""COMPUTED_VALUE"""),"Vest- og Sydsjælland")</f>
        <v>Vest- og Sydsjælland</v>
      </c>
      <c r="N38" s="14" t="str">
        <f ca="1">IFERROR(__xludf.DUMMYFUNCTION("""COMPUTED_VALUE"""),"Sjælland")</f>
        <v>Sjælland</v>
      </c>
      <c r="O38" s="14" t="str">
        <f ca="1">IFERROR(__xludf.DUMMYFUNCTION("""COMPUTED_VALUE"""),"55 77 75 00")</f>
        <v>55 77 75 00</v>
      </c>
      <c r="P38" s="14" t="str">
        <f ca="1">IFERROR(__xludf.DUMMYFUNCTION("""COMPUTED_VALUE"""),"naestved@lokalbolig.dk")</f>
        <v>naestved@lokalbolig.dk</v>
      </c>
      <c r="Q38" s="15" t="str">
        <f ca="1">IFERROR(__xludf.DUMMYFUNCTION("""COMPUTED_VALUE"""),"https://www.boliga.dk/maegler/19252")</f>
        <v>https://www.boliga.dk/maegler/19252</v>
      </c>
      <c r="R38" s="14" t="str">
        <f ca="1">IFERROR(__xludf.DUMMYFUNCTION("""COMPUTED_VALUE"""),"-")</f>
        <v>-</v>
      </c>
      <c r="S38" s="14" t="str">
        <f ca="1">IFERROR(__xludf.DUMMYFUNCTION("""COMPUTED_VALUE"""),"-")</f>
        <v>-</v>
      </c>
      <c r="T38" s="14" t="str">
        <f ca="1">IFERROR(__xludf.DUMMYFUNCTION("""COMPUTED_VALUE"""),"-")</f>
        <v>-</v>
      </c>
      <c r="U38" s="14">
        <f ca="1">IFERROR(__xludf.DUMMYFUNCTION("""COMPUTED_VALUE"""),9)</f>
        <v>9</v>
      </c>
      <c r="V38" s="14" t="str">
        <f ca="1">IFERROR(__xludf.DUMMYFUNCTION("""COMPUTED_VALUE"""),"4160, 4736, 4684, 4700")</f>
        <v>4160, 4736, 4684, 4700</v>
      </c>
      <c r="W38" s="14">
        <f ca="1">IFERROR(__xludf.DUMMYFUNCTION("""COMPUTED_VALUE"""),11)</f>
        <v>11</v>
      </c>
      <c r="X38" s="14" t="str">
        <f ca="1">IFERROR(__xludf.DUMMYFUNCTION("""COMPUTED_VALUE"""),"4654, 4171, 4700")</f>
        <v>4654, 4171, 4700</v>
      </c>
      <c r="Y38" s="14" t="str">
        <f ca="1">IFERROR(__xludf.DUMMYFUNCTION("""COMPUTED_VALUE"""),"ja")</f>
        <v>ja</v>
      </c>
      <c r="Z38" s="14"/>
      <c r="AA38" s="14"/>
      <c r="AB38" s="14" t="str">
        <f ca="1">IFERROR(__xludf.DUMMYFUNCTION("""COMPUTED_VALUE"""),"x")</f>
        <v>x</v>
      </c>
      <c r="AC38" s="14" t="str">
        <f ca="1">IFERROR(__xludf.DUMMYFUNCTION("""COMPUTED_VALUE"""),"x")</f>
        <v>x</v>
      </c>
    </row>
    <row r="39" spans="1:29" ht="12.5" x14ac:dyDescent="0.25">
      <c r="A39" s="14" t="str">
        <f ca="1">IFERROR(__xludf.DUMMYFUNCTION("""COMPUTED_VALUE"""),"Camilla")</f>
        <v>Camilla</v>
      </c>
      <c r="B39" s="14" t="str">
        <f ca="1">IFERROR(__xludf.DUMMYFUNCTION("""COMPUTED_VALUE"""),"LokalBolig Dalum-Hjallese")</f>
        <v>LokalBolig Dalum-Hjallese</v>
      </c>
      <c r="C39" s="14">
        <f ca="1">IFERROR(__xludf.DUMMYFUNCTION("""COMPUTED_VALUE"""),39213435)</f>
        <v>39213435</v>
      </c>
      <c r="D39" s="14" t="str">
        <f ca="1">IFERROR(__xludf.DUMMYFUNCTION("""COMPUTED_VALUE"""),"MG-JY: 2.499,-")</f>
        <v>MG-JY: 2.499,-</v>
      </c>
      <c r="E39" s="14">
        <f ca="1">IFERROR(__xludf.DUMMYFUNCTION("""COMPUTED_VALUE"""),1201)</f>
        <v>1201</v>
      </c>
      <c r="F39" s="14" t="str">
        <f ca="1">IFERROR(__xludf.DUMMYFUNCTION("""COMPUTED_VALUE"""),"Martin Lehrmann")</f>
        <v>Martin Lehrmann</v>
      </c>
      <c r="G39" s="14" t="str">
        <f ca="1">IFERROR(__xludf.DUMMYFUNCTION("""COMPUTED_VALUE"""),"ml@lokalbolig.dk")</f>
        <v>ml@lokalbolig.dk</v>
      </c>
      <c r="H39" s="14" t="str">
        <f ca="1">IFERROR(__xludf.DUMMYFUNCTION("""COMPUTED_VALUE"""),"31 43 50 00")</f>
        <v>31 43 50 00</v>
      </c>
      <c r="I39" s="14" t="str">
        <f ca="1">IFERROR(__xludf.DUMMYFUNCTION("""COMPUTED_VALUE"""),"Faaborgvej 20")</f>
        <v>Faaborgvej 20</v>
      </c>
      <c r="J39" s="14">
        <f ca="1">IFERROR(__xludf.DUMMYFUNCTION("""COMPUTED_VALUE"""),5250)</f>
        <v>5250</v>
      </c>
      <c r="K39" s="14" t="str">
        <f ca="1">IFERROR(__xludf.DUMMYFUNCTION("""COMPUTED_VALUE"""),"Odense SV")</f>
        <v>Odense SV</v>
      </c>
      <c r="L39" s="14" t="str">
        <f ca="1">IFERROR(__xludf.DUMMYFUNCTION("""COMPUTED_VALUE"""),"Odense")</f>
        <v>Odense</v>
      </c>
      <c r="M39" s="14" t="str">
        <f ca="1">IFERROR(__xludf.DUMMYFUNCTION("""COMPUTED_VALUE"""),"Fyn")</f>
        <v>Fyn</v>
      </c>
      <c r="N39" s="14" t="str">
        <f ca="1">IFERROR(__xludf.DUMMYFUNCTION("""COMPUTED_VALUE"""),"Syddanmark")</f>
        <v>Syddanmark</v>
      </c>
      <c r="O39" s="14">
        <f ca="1">IFERROR(__xludf.DUMMYFUNCTION("""COMPUTED_VALUE"""),31575500)</f>
        <v>31575500</v>
      </c>
      <c r="P39" s="14" t="str">
        <f ca="1">IFERROR(__xludf.DUMMYFUNCTION("""COMPUTED_VALUE"""),"dalum_hjallese@lokalbolig.dk")</f>
        <v>dalum_hjallese@lokalbolig.dk</v>
      </c>
      <c r="Q39" s="15" t="str">
        <f ca="1">IFERROR(__xludf.DUMMYFUNCTION("""COMPUTED_VALUE"""),"https://www.boliga.dk/maegler/25582")</f>
        <v>https://www.boliga.dk/maegler/25582</v>
      </c>
      <c r="R39" s="14" t="str">
        <f ca="1">IFERROR(__xludf.DUMMYFUNCTION("""COMPUTED_VALUE"""),"-")</f>
        <v>-</v>
      </c>
      <c r="S39" s="14" t="str">
        <f ca="1">IFERROR(__xludf.DUMMYFUNCTION("""COMPUTED_VALUE"""),"-")</f>
        <v>-</v>
      </c>
      <c r="T39" s="14" t="str">
        <f ca="1">IFERROR(__xludf.DUMMYFUNCTION("""COMPUTED_VALUE"""),"-")</f>
        <v>-</v>
      </c>
      <c r="U39" s="14">
        <f ca="1">IFERROR(__xludf.DUMMYFUNCTION("""COMPUTED_VALUE"""),35)</f>
        <v>35</v>
      </c>
      <c r="V39" s="14" t="str">
        <f ca="1">IFERROR(__xludf.DUMMYFUNCTION("""COMPUTED_VALUE"""),"5250, 5220, 5260, 5610, 5683, 5672, 5792, 5690")</f>
        <v>5250, 5220, 5260, 5610, 5683, 5672, 5792, 5690</v>
      </c>
      <c r="W39" s="14">
        <f ca="1">IFERROR(__xludf.DUMMYFUNCTION("""COMPUTED_VALUE"""),39)</f>
        <v>39</v>
      </c>
      <c r="X39" s="14" t="str">
        <f ca="1">IFERROR(__xludf.DUMMYFUNCTION("""COMPUTED_VALUE"""),"5250, 5220, 5260, 5610, 5672, 5792, 5690")</f>
        <v>5250, 5220, 5260, 5610, 5672, 5792, 5690</v>
      </c>
      <c r="Y39" s="14" t="str">
        <f ca="1">IFERROR(__xludf.DUMMYFUNCTION("""COMPUTED_VALUE"""),"ja")</f>
        <v>ja</v>
      </c>
      <c r="Z39" s="14" t="str">
        <f ca="1">IFERROR(__xludf.DUMMYFUNCTION("""COMPUTED_VALUE"""),"åbner endnu en butik. (d.12/4 - sætter gamle dvr på, venter på at modtage nyt cvr til den nye butik)")</f>
        <v>åbner endnu en butik. (d.12/4 - sætter gamle dvr på, venter på at modtage nyt cvr til den nye butik)</v>
      </c>
      <c r="AA39" s="14"/>
      <c r="AB39" s="14" t="str">
        <f ca="1">IFERROR(__xludf.DUMMYFUNCTION("""COMPUTED_VALUE"""),"x")</f>
        <v>x</v>
      </c>
      <c r="AC39" s="14" t="str">
        <f ca="1">IFERROR(__xludf.DUMMYFUNCTION("""COMPUTED_VALUE"""),"x")</f>
        <v>x</v>
      </c>
    </row>
    <row r="40" spans="1:29" ht="12.5" x14ac:dyDescent="0.25">
      <c r="A40" s="14" t="str">
        <f ca="1">IFERROR(__xludf.DUMMYFUNCTION("""COMPUTED_VALUE"""),"Camilla")</f>
        <v>Camilla</v>
      </c>
      <c r="B40" s="14" t="str">
        <f ca="1">IFERROR(__xludf.DUMMYFUNCTION("""COMPUTED_VALUE"""),"Lokalbolig Odense ApS")</f>
        <v>Lokalbolig Odense ApS</v>
      </c>
      <c r="C40" s="14">
        <f ca="1">IFERROR(__xludf.DUMMYFUNCTION("""COMPUTED_VALUE"""),39213435)</f>
        <v>39213435</v>
      </c>
      <c r="D40" s="14" t="str">
        <f ca="1">IFERROR(__xludf.DUMMYFUNCTION("""COMPUTED_VALUE"""),"MG-JY: 2.499,-")</f>
        <v>MG-JY: 2.499,-</v>
      </c>
      <c r="E40" s="14">
        <f ca="1">IFERROR(__xludf.DUMMYFUNCTION("""COMPUTED_VALUE"""),1201)</f>
        <v>1201</v>
      </c>
      <c r="F40" s="14" t="str">
        <f ca="1">IFERROR(__xludf.DUMMYFUNCTION("""COMPUTED_VALUE"""),"Torsten Gram")</f>
        <v>Torsten Gram</v>
      </c>
      <c r="G40" s="14" t="str">
        <f ca="1">IFERROR(__xludf.DUMMYFUNCTION("""COMPUTED_VALUE"""),"tog@lokalbolig.dk")</f>
        <v>tog@lokalbolig.dk</v>
      </c>
      <c r="H40" s="14" t="str">
        <f ca="1">IFERROR(__xludf.DUMMYFUNCTION("""COMPUTED_VALUE"""),"31 43 50 00")</f>
        <v>31 43 50 00</v>
      </c>
      <c r="I40" s="14" t="str">
        <f ca="1">IFERROR(__xludf.DUMMYFUNCTION("""COMPUTED_VALUE"""),"Hjallesevej 6, st., th")</f>
        <v>Hjallesevej 6, st., th</v>
      </c>
      <c r="J40" s="14">
        <f ca="1">IFERROR(__xludf.DUMMYFUNCTION("""COMPUTED_VALUE"""),5000)</f>
        <v>5000</v>
      </c>
      <c r="K40" s="14" t="str">
        <f ca="1">IFERROR(__xludf.DUMMYFUNCTION("""COMPUTED_VALUE"""),"Odense C")</f>
        <v>Odense C</v>
      </c>
      <c r="L40" s="14" t="str">
        <f ca="1">IFERROR(__xludf.DUMMYFUNCTION("""COMPUTED_VALUE"""),"Odense")</f>
        <v>Odense</v>
      </c>
      <c r="M40" s="14" t="str">
        <f ca="1">IFERROR(__xludf.DUMMYFUNCTION("""COMPUTED_VALUE"""),"Fyn")</f>
        <v>Fyn</v>
      </c>
      <c r="N40" s="14" t="str">
        <f ca="1">IFERROR(__xludf.DUMMYFUNCTION("""COMPUTED_VALUE"""),"Syddanmark")</f>
        <v>Syddanmark</v>
      </c>
      <c r="O40" s="14">
        <f ca="1">IFERROR(__xludf.DUMMYFUNCTION("""COMPUTED_VALUE"""),31575500)</f>
        <v>31575500</v>
      </c>
      <c r="P40" s="14" t="str">
        <f ca="1">IFERROR(__xludf.DUMMYFUNCTION("""COMPUTED_VALUE"""),"odense@lokalbolig.dk")</f>
        <v>odense@lokalbolig.dk</v>
      </c>
      <c r="Q40" s="15" t="str">
        <f ca="1">IFERROR(__xludf.DUMMYFUNCTION("""COMPUTED_VALUE"""),"https://www.boliga.dk/maegler/25242")</f>
        <v>https://www.boliga.dk/maegler/25242</v>
      </c>
      <c r="R40" s="14" t="str">
        <f ca="1">IFERROR(__xludf.DUMMYFUNCTION("""COMPUTED_VALUE"""),"-")</f>
        <v>-</v>
      </c>
      <c r="S40" s="14" t="str">
        <f ca="1">IFERROR(__xludf.DUMMYFUNCTION("""COMPUTED_VALUE"""),"-")</f>
        <v>-</v>
      </c>
      <c r="T40" s="14" t="str">
        <f ca="1">IFERROR(__xludf.DUMMYFUNCTION("""COMPUTED_VALUE"""),"-")</f>
        <v>-</v>
      </c>
      <c r="U40" s="14">
        <f ca="1">IFERROR(__xludf.DUMMYFUNCTION("""COMPUTED_VALUE"""),31)</f>
        <v>31</v>
      </c>
      <c r="V40" s="14" t="str">
        <f ca="1">IFERROR(__xludf.DUMMYFUNCTION("""COMPUTED_VALUE"""),"5000, 5550, 5230, 5240, 5540, 5290, 5871, 5330")</f>
        <v>5000, 5550, 5230, 5240, 5540, 5290, 5871, 5330</v>
      </c>
      <c r="W40" s="14">
        <f ca="1">IFERROR(__xludf.DUMMYFUNCTION("""COMPUTED_VALUE"""),33)</f>
        <v>33</v>
      </c>
      <c r="X40" s="14" t="str">
        <f ca="1">IFERROR(__xludf.DUMMYFUNCTION("""COMPUTED_VALUE"""),"5000, 5320, 5800, 5230, 5853, 5240, 5540, 5550, 5290, 5330")</f>
        <v>5000, 5320, 5800, 5230, 5853, 5240, 5540, 5550, 5290, 5330</v>
      </c>
      <c r="Y40" s="14" t="str">
        <f ca="1">IFERROR(__xludf.DUMMYFUNCTION("""COMPUTED_VALUE"""),"ja")</f>
        <v>ja</v>
      </c>
      <c r="Z40" s="14"/>
      <c r="AA40" s="14"/>
      <c r="AB40" s="14" t="str">
        <f ca="1">IFERROR(__xludf.DUMMYFUNCTION("""COMPUTED_VALUE"""),"x")</f>
        <v>x</v>
      </c>
      <c r="AC40" s="14" t="str">
        <f ca="1">IFERROR(__xludf.DUMMYFUNCTION("""COMPUTED_VALUE"""),"x")</f>
        <v>x</v>
      </c>
    </row>
    <row r="41" spans="1:29" ht="12.5" x14ac:dyDescent="0.25">
      <c r="A41" s="14" t="str">
        <f ca="1">IFERROR(__xludf.DUMMYFUNCTION("""COMPUTED_VALUE"""),"Camilla")</f>
        <v>Camilla</v>
      </c>
      <c r="B41" s="14" t="str">
        <f ca="1">IFERROR(__xludf.DUMMYFUNCTION("""COMPUTED_VALUE"""),"LokalBolig Odense Tarup-Næsby")</f>
        <v>LokalBolig Odense Tarup-Næsby</v>
      </c>
      <c r="C41" s="14">
        <f ca="1">IFERROR(__xludf.DUMMYFUNCTION("""COMPUTED_VALUE"""),39213435)</f>
        <v>39213435</v>
      </c>
      <c r="D41" s="14" t="str">
        <f ca="1">IFERROR(__xludf.DUMMYFUNCTION("""COMPUTED_VALUE"""),"MG-JY: 2.499,-")</f>
        <v>MG-JY: 2.499,-</v>
      </c>
      <c r="E41" s="14">
        <f ca="1">IFERROR(__xludf.DUMMYFUNCTION("""COMPUTED_VALUE"""),1201)</f>
        <v>1201</v>
      </c>
      <c r="F41" s="14" t="str">
        <f ca="1">IFERROR(__xludf.DUMMYFUNCTION("""COMPUTED_VALUE"""),"Torsten Gram")</f>
        <v>Torsten Gram</v>
      </c>
      <c r="G41" s="14" t="str">
        <f ca="1">IFERROR(__xludf.DUMMYFUNCTION("""COMPUTED_VALUE"""),"tog@lokalbolig.dk")</f>
        <v>tog@lokalbolig.dk</v>
      </c>
      <c r="H41" s="14" t="str">
        <f ca="1">IFERROR(__xludf.DUMMYFUNCTION("""COMPUTED_VALUE"""),"31 43 50 00")</f>
        <v>31 43 50 00</v>
      </c>
      <c r="I41" s="14" t="str">
        <f ca="1">IFERROR(__xludf.DUMMYFUNCTION("""COMPUTED_VALUE"""),"Rugårdsvej 158")</f>
        <v>Rugårdsvej 158</v>
      </c>
      <c r="J41" s="14">
        <f ca="1">IFERROR(__xludf.DUMMYFUNCTION("""COMPUTED_VALUE"""),5210)</f>
        <v>5210</v>
      </c>
      <c r="K41" s="14" t="str">
        <f ca="1">IFERROR(__xludf.DUMMYFUNCTION("""COMPUTED_VALUE"""),"Odense NV")</f>
        <v>Odense NV</v>
      </c>
      <c r="L41" s="14" t="str">
        <f ca="1">IFERROR(__xludf.DUMMYFUNCTION("""COMPUTED_VALUE"""),"Odense")</f>
        <v>Odense</v>
      </c>
      <c r="M41" s="14" t="str">
        <f ca="1">IFERROR(__xludf.DUMMYFUNCTION("""COMPUTED_VALUE"""),"Fyn")</f>
        <v>Fyn</v>
      </c>
      <c r="N41" s="14" t="str">
        <f ca="1">IFERROR(__xludf.DUMMYFUNCTION("""COMPUTED_VALUE"""),"Syddanmark")</f>
        <v>Syddanmark</v>
      </c>
      <c r="O41" s="14">
        <f ca="1">IFERROR(__xludf.DUMMYFUNCTION("""COMPUTED_VALUE"""),31575500)</f>
        <v>31575500</v>
      </c>
      <c r="P41" s="14" t="str">
        <f ca="1">IFERROR(__xludf.DUMMYFUNCTION("""COMPUTED_VALUE"""),"tarup_naesby@lokalbolig.dk")</f>
        <v>tarup_naesby@lokalbolig.dk</v>
      </c>
      <c r="Q41" s="15" t="str">
        <f ca="1">IFERROR(__xludf.DUMMYFUNCTION("""COMPUTED_VALUE"""),"https://www.boliga.dk/maegler/28345")</f>
        <v>https://www.boliga.dk/maegler/28345</v>
      </c>
      <c r="R41" s="14" t="str">
        <f ca="1">IFERROR(__xludf.DUMMYFUNCTION("""COMPUTED_VALUE"""),"-")</f>
        <v>-</v>
      </c>
      <c r="S41" s="14" t="str">
        <f ca="1">IFERROR(__xludf.DUMMYFUNCTION("""COMPUTED_VALUE"""),"-")</f>
        <v>-</v>
      </c>
      <c r="T41" s="14" t="str">
        <f ca="1">IFERROR(__xludf.DUMMYFUNCTION("""COMPUTED_VALUE"""),"-")</f>
        <v>-</v>
      </c>
      <c r="U41" s="14">
        <f ca="1">IFERROR(__xludf.DUMMYFUNCTION("""COMPUTED_VALUE"""),25)</f>
        <v>25</v>
      </c>
      <c r="V41" s="14" t="str">
        <f ca="1">IFERROR(__xludf.DUMMYFUNCTION("""COMPUTED_VALUE"""),"5270, 5491, 5200, 5210, 5450, 5474, 5485, 5492, 5471")</f>
        <v>5270, 5491, 5200, 5210, 5450, 5474, 5485, 5492, 5471</v>
      </c>
      <c r="W41" s="14">
        <f ca="1">IFERROR(__xludf.DUMMYFUNCTION("""COMPUTED_VALUE"""),21)</f>
        <v>21</v>
      </c>
      <c r="X41" s="14" t="str">
        <f ca="1">IFERROR(__xludf.DUMMYFUNCTION("""COMPUTED_VALUE"""),"5200, 5491, 5270, 5210, 5462, 5492, 5450, 5464")</f>
        <v>5200, 5491, 5270, 5210, 5462, 5492, 5450, 5464</v>
      </c>
      <c r="Y41" s="14" t="str">
        <f ca="1">IFERROR(__xludf.DUMMYFUNCTION("""COMPUTED_VALUE"""),"ja")</f>
        <v>ja</v>
      </c>
      <c r="Z41" s="14"/>
      <c r="AA41" s="14"/>
      <c r="AB41" s="14" t="str">
        <f ca="1">IFERROR(__xludf.DUMMYFUNCTION("""COMPUTED_VALUE"""),"x")</f>
        <v>x</v>
      </c>
      <c r="AC41" s="14" t="str">
        <f ca="1">IFERROR(__xludf.DUMMYFUNCTION("""COMPUTED_VALUE"""),"x")</f>
        <v>x</v>
      </c>
    </row>
    <row r="42" spans="1:29" ht="12.5" x14ac:dyDescent="0.25">
      <c r="A42" s="14" t="str">
        <f ca="1">IFERROR(__xludf.DUMMYFUNCTION("""COMPUTED_VALUE"""),"Camilla")</f>
        <v>Camilla</v>
      </c>
      <c r="B42" s="14" t="str">
        <f ca="1">IFERROR(__xludf.DUMMYFUNCTION("""COMPUTED_VALUE"""),"Lokalbolig Svendborg")</f>
        <v>Lokalbolig Svendborg</v>
      </c>
      <c r="C42" s="14">
        <f ca="1">IFERROR(__xludf.DUMMYFUNCTION("""COMPUTED_VALUE"""),39434393)</f>
        <v>39434393</v>
      </c>
      <c r="D42" s="14" t="str">
        <f ca="1">IFERROR(__xludf.DUMMYFUNCTION("""COMPUTED_VALUE"""),"MG-JY: 2.499,-")</f>
        <v>MG-JY: 2.499,-</v>
      </c>
      <c r="E42" s="14">
        <f ca="1">IFERROR(__xludf.DUMMYFUNCTION("""COMPUTED_VALUE"""),1201)</f>
        <v>1201</v>
      </c>
      <c r="F42" s="14" t="str">
        <f ca="1">IFERROR(__xludf.DUMMYFUNCTION("""COMPUTED_VALUE"""),"Martin Lehrmann")</f>
        <v>Martin Lehrmann</v>
      </c>
      <c r="G42" s="14" t="str">
        <f ca="1">IFERROR(__xludf.DUMMYFUNCTION("""COMPUTED_VALUE"""),"ml@lokalbolig.dk")</f>
        <v>ml@lokalbolig.dk</v>
      </c>
      <c r="H42" s="14" t="str">
        <f ca="1">IFERROR(__xludf.DUMMYFUNCTION("""COMPUTED_VALUE"""),"31 43 50 00")</f>
        <v>31 43 50 00</v>
      </c>
      <c r="I42" s="14" t="str">
        <f ca="1">IFERROR(__xludf.DUMMYFUNCTION("""COMPUTED_VALUE"""),"Møllergade 57A")</f>
        <v>Møllergade 57A</v>
      </c>
      <c r="J42" s="14">
        <f ca="1">IFERROR(__xludf.DUMMYFUNCTION("""COMPUTED_VALUE"""),5700)</f>
        <v>5700</v>
      </c>
      <c r="K42" s="14" t="str">
        <f ca="1">IFERROR(__xludf.DUMMYFUNCTION("""COMPUTED_VALUE"""),"Svendborg")</f>
        <v>Svendborg</v>
      </c>
      <c r="L42" s="14" t="str">
        <f ca="1">IFERROR(__xludf.DUMMYFUNCTION("""COMPUTED_VALUE"""),"Svendborg")</f>
        <v>Svendborg</v>
      </c>
      <c r="M42" s="14" t="str">
        <f ca="1">IFERROR(__xludf.DUMMYFUNCTION("""COMPUTED_VALUE"""),"Fyn")</f>
        <v>Fyn</v>
      </c>
      <c r="N42" s="14" t="str">
        <f ca="1">IFERROR(__xludf.DUMMYFUNCTION("""COMPUTED_VALUE"""),"Syddanmark")</f>
        <v>Syddanmark</v>
      </c>
      <c r="O42" s="14">
        <f ca="1">IFERROR(__xludf.DUMMYFUNCTION("""COMPUTED_VALUE"""),31595700)</f>
        <v>31595700</v>
      </c>
      <c r="P42" s="14" t="str">
        <f ca="1">IFERROR(__xludf.DUMMYFUNCTION("""COMPUTED_VALUE"""),"svendborg@lokalbolig.dk")</f>
        <v>svendborg@lokalbolig.dk</v>
      </c>
      <c r="Q42" s="15" t="str">
        <f ca="1">IFERROR(__xludf.DUMMYFUNCTION("""COMPUTED_VALUE"""),"https://www.boliga.dk/maegler/21930")</f>
        <v>https://www.boliga.dk/maegler/21930</v>
      </c>
      <c r="R42" s="14" t="str">
        <f ca="1">IFERROR(__xludf.DUMMYFUNCTION("""COMPUTED_VALUE"""),"-")</f>
        <v>-</v>
      </c>
      <c r="S42" s="14" t="str">
        <f ca="1">IFERROR(__xludf.DUMMYFUNCTION("""COMPUTED_VALUE"""),"-")</f>
        <v>-</v>
      </c>
      <c r="T42" s="14" t="str">
        <f ca="1">IFERROR(__xludf.DUMMYFUNCTION("""COMPUTED_VALUE"""),"-")</f>
        <v>-</v>
      </c>
      <c r="U42" s="14">
        <f ca="1">IFERROR(__xludf.DUMMYFUNCTION("""COMPUTED_VALUE"""),42)</f>
        <v>42</v>
      </c>
      <c r="V42" s="14" t="str">
        <f ca="1">IFERROR(__xludf.DUMMYFUNCTION("""COMPUTED_VALUE"""),"5600, 5700, 5882, 5762, 5883, 5772, 5881")</f>
        <v>5600, 5700, 5882, 5762, 5883, 5772, 5881</v>
      </c>
      <c r="W42" s="14">
        <f ca="1">IFERROR(__xludf.DUMMYFUNCTION("""COMPUTED_VALUE"""),15)</f>
        <v>15</v>
      </c>
      <c r="X42" s="14" t="str">
        <f ca="1">IFERROR(__xludf.DUMMYFUNCTION("""COMPUTED_VALUE"""),"5882, 5700, 5600, 5772, 5892, 5953, 5750, 5881")</f>
        <v>5882, 5700, 5600, 5772, 5892, 5953, 5750, 5881</v>
      </c>
      <c r="Y42" s="14" t="str">
        <f ca="1">IFERROR(__xludf.DUMMYFUNCTION("""COMPUTED_VALUE"""),"ja")</f>
        <v>ja</v>
      </c>
      <c r="Z42" s="14"/>
      <c r="AA42" s="14"/>
      <c r="AB42" s="14" t="str">
        <f ca="1">IFERROR(__xludf.DUMMYFUNCTION("""COMPUTED_VALUE"""),"x")</f>
        <v>x</v>
      </c>
      <c r="AC42" s="14" t="str">
        <f ca="1">IFERROR(__xludf.DUMMYFUNCTION("""COMPUTED_VALUE"""),"x")</f>
        <v>x</v>
      </c>
    </row>
    <row r="43" spans="1:29" ht="12.5" x14ac:dyDescent="0.25">
      <c r="A43" s="14" t="str">
        <f ca="1">IFERROR(__xludf.DUMMYFUNCTION("""COMPUTED_VALUE"""),"Camilla")</f>
        <v>Camilla</v>
      </c>
      <c r="B43" s="14" t="str">
        <f ca="1">IFERROR(__xludf.DUMMYFUNCTION("""COMPUTED_VALUE"""),"LokalBolig Fredericia ApS")</f>
        <v>LokalBolig Fredericia ApS</v>
      </c>
      <c r="C43" s="14">
        <f ca="1">IFERROR(__xludf.DUMMYFUNCTION("""COMPUTED_VALUE"""),35817905)</f>
        <v>35817905</v>
      </c>
      <c r="D43" s="14" t="str">
        <f ca="1">IFERROR(__xludf.DUMMYFUNCTION("""COMPUTED_VALUE"""),"MG-JY: 2.499,-")</f>
        <v>MG-JY: 2.499,-</v>
      </c>
      <c r="E43" s="14">
        <f ca="1">IFERROR(__xludf.DUMMYFUNCTION("""COMPUTED_VALUE"""),1201)</f>
        <v>1201</v>
      </c>
      <c r="F43" s="14" t="str">
        <f ca="1">IFERROR(__xludf.DUMMYFUNCTION("""COMPUTED_VALUE"""),"Anders Jespersen")</f>
        <v>Anders Jespersen</v>
      </c>
      <c r="G43" s="15" t="str">
        <f ca="1">IFERROR(__xludf.DUMMYFUNCTION("""COMPUTED_VALUE"""),"aje@lokalbolig.dk")</f>
        <v>aje@lokalbolig.dk</v>
      </c>
      <c r="H43" s="14" t="str">
        <f ca="1">IFERROR(__xludf.DUMMYFUNCTION("""COMPUTED_VALUE"""),"28 59 70 53")</f>
        <v>28 59 70 53</v>
      </c>
      <c r="I43" s="14" t="str">
        <f ca="1">IFERROR(__xludf.DUMMYFUNCTION("""COMPUTED_VALUE"""),"6. Julivej 30")</f>
        <v>6. Julivej 30</v>
      </c>
      <c r="J43" s="14">
        <f ca="1">IFERROR(__xludf.DUMMYFUNCTION("""COMPUTED_VALUE"""),7000)</f>
        <v>7000</v>
      </c>
      <c r="K43" s="14" t="str">
        <f ca="1">IFERROR(__xludf.DUMMYFUNCTION("""COMPUTED_VALUE"""),"Fredericia")</f>
        <v>Fredericia</v>
      </c>
      <c r="L43" s="14" t="str">
        <f ca="1">IFERROR(__xludf.DUMMYFUNCTION("""COMPUTED_VALUE"""),"Fredericia")</f>
        <v>Fredericia</v>
      </c>
      <c r="M43" s="14" t="str">
        <f ca="1">IFERROR(__xludf.DUMMYFUNCTION("""COMPUTED_VALUE"""),"Sydjylland")</f>
        <v>Sydjylland</v>
      </c>
      <c r="N43" s="14" t="str">
        <f ca="1">IFERROR(__xludf.DUMMYFUNCTION("""COMPUTED_VALUE"""),"Syddanmark")</f>
        <v>Syddanmark</v>
      </c>
      <c r="O43" s="14" t="str">
        <f ca="1">IFERROR(__xludf.DUMMYFUNCTION("""COMPUTED_VALUE"""),"88 82 70 53")</f>
        <v>88 82 70 53</v>
      </c>
      <c r="P43" s="14" t="str">
        <f ca="1">IFERROR(__xludf.DUMMYFUNCTION("""COMPUTED_VALUE"""),"fredericia@lokalbolig.dk")</f>
        <v>fredericia@lokalbolig.dk</v>
      </c>
      <c r="Q43" s="15" t="str">
        <f ca="1">IFERROR(__xludf.DUMMYFUNCTION("""COMPUTED_VALUE"""),"https://www.boliga.dk/maegler/19237")</f>
        <v>https://www.boliga.dk/maegler/19237</v>
      </c>
      <c r="R43" s="14" t="str">
        <f ca="1">IFERROR(__xludf.DUMMYFUNCTION("""COMPUTED_VALUE"""),"-")</f>
        <v>-</v>
      </c>
      <c r="S43" s="14" t="str">
        <f ca="1">IFERROR(__xludf.DUMMYFUNCTION("""COMPUTED_VALUE"""),"-")</f>
        <v>-</v>
      </c>
      <c r="T43" s="14" t="str">
        <f ca="1">IFERROR(__xludf.DUMMYFUNCTION("""COMPUTED_VALUE"""),"-")</f>
        <v>-</v>
      </c>
      <c r="U43" s="14">
        <f ca="1">IFERROR(__xludf.DUMMYFUNCTION("""COMPUTED_VALUE"""),16)</f>
        <v>16</v>
      </c>
      <c r="V43" s="14" t="str">
        <f ca="1">IFERROR(__xludf.DUMMYFUNCTION("""COMPUTED_VALUE"""),"7000, 5500")</f>
        <v>7000, 5500</v>
      </c>
      <c r="W43" s="14">
        <f ca="1">IFERROR(__xludf.DUMMYFUNCTION("""COMPUTED_VALUE"""),19)</f>
        <v>19</v>
      </c>
      <c r="X43" s="14">
        <f ca="1">IFERROR(__xludf.DUMMYFUNCTION("""COMPUTED_VALUE"""),7000)</f>
        <v>7000</v>
      </c>
      <c r="Y43" s="14" t="str">
        <f ca="1">IFERROR(__xludf.DUMMYFUNCTION("""COMPUTED_VALUE"""),"ja")</f>
        <v>ja</v>
      </c>
      <c r="Z43" s="14"/>
      <c r="AA43" s="14"/>
      <c r="AB43" s="14" t="str">
        <f ca="1">IFERROR(__xludf.DUMMYFUNCTION("""COMPUTED_VALUE"""),"x")</f>
        <v>x</v>
      </c>
      <c r="AC43" s="14" t="str">
        <f ca="1">IFERROR(__xludf.DUMMYFUNCTION("""COMPUTED_VALUE"""),"x")</f>
        <v>x</v>
      </c>
    </row>
    <row r="44" spans="1:29" ht="12.5" x14ac:dyDescent="0.25">
      <c r="A44" s="14" t="str">
        <f ca="1">IFERROR(__xludf.DUMMYFUNCTION("""COMPUTED_VALUE"""),"Camilla")</f>
        <v>Camilla</v>
      </c>
      <c r="B44" s="14" t="str">
        <f ca="1">IFERROR(__xludf.DUMMYFUNCTION("""COMPUTED_VALUE"""),"LokalBolig Kolding ApS")</f>
        <v>LokalBolig Kolding ApS</v>
      </c>
      <c r="C44" s="14">
        <f ca="1">IFERROR(__xludf.DUMMYFUNCTION("""COMPUTED_VALUE"""),39480735)</f>
        <v>39480735</v>
      </c>
      <c r="D44" s="14" t="str">
        <f ca="1">IFERROR(__xludf.DUMMYFUNCTION("""COMPUTED_VALUE"""),"MG-JY: 2.499,-")</f>
        <v>MG-JY: 2.499,-</v>
      </c>
      <c r="E44" s="14">
        <f ca="1">IFERROR(__xludf.DUMMYFUNCTION("""COMPUTED_VALUE"""),1201)</f>
        <v>1201</v>
      </c>
      <c r="F44" s="14" t="str">
        <f ca="1">IFERROR(__xludf.DUMMYFUNCTION("""COMPUTED_VALUE"""),"Gert Rosendahl")</f>
        <v>Gert Rosendahl</v>
      </c>
      <c r="G44" s="14" t="str">
        <f ca="1">IFERROR(__xludf.DUMMYFUNCTION("""COMPUTED_VALUE"""),"gr@lokalbolig.dk")</f>
        <v>gr@lokalbolig.dk</v>
      </c>
      <c r="H44" s="14" t="str">
        <f ca="1">IFERROR(__xludf.DUMMYFUNCTION("""COMPUTED_VALUE"""),"61 30 94 03")</f>
        <v>61 30 94 03</v>
      </c>
      <c r="I44" s="14" t="str">
        <f ca="1">IFERROR(__xludf.DUMMYFUNCTION("""COMPUTED_VALUE"""),"Vejlevej 130")</f>
        <v>Vejlevej 130</v>
      </c>
      <c r="J44" s="14">
        <f ca="1">IFERROR(__xludf.DUMMYFUNCTION("""COMPUTED_VALUE"""),6000)</f>
        <v>6000</v>
      </c>
      <c r="K44" s="14" t="str">
        <f ca="1">IFERROR(__xludf.DUMMYFUNCTION("""COMPUTED_VALUE"""),"Kolding")</f>
        <v>Kolding</v>
      </c>
      <c r="L44" s="14" t="str">
        <f ca="1">IFERROR(__xludf.DUMMYFUNCTION("""COMPUTED_VALUE"""),"Kolding")</f>
        <v>Kolding</v>
      </c>
      <c r="M44" s="14" t="str">
        <f ca="1">IFERROR(__xludf.DUMMYFUNCTION("""COMPUTED_VALUE"""),"Sydjylland")</f>
        <v>Sydjylland</v>
      </c>
      <c r="N44" s="14" t="str">
        <f ca="1">IFERROR(__xludf.DUMMYFUNCTION("""COMPUTED_VALUE"""),"Syddanmark")</f>
        <v>Syddanmark</v>
      </c>
      <c r="O44" s="14">
        <f ca="1">IFERROR(__xludf.DUMMYFUNCTION("""COMPUTED_VALUE"""),76301988)</f>
        <v>76301988</v>
      </c>
      <c r="P44" s="14" t="str">
        <f ca="1">IFERROR(__xludf.DUMMYFUNCTION("""COMPUTED_VALUE"""),"kolding@lokalbolig.dk")</f>
        <v>kolding@lokalbolig.dk</v>
      </c>
      <c r="Q44" s="15" t="str">
        <f ca="1">IFERROR(__xludf.DUMMYFUNCTION("""COMPUTED_VALUE"""),"https://www.boliga.dk/maegler/25241")</f>
        <v>https://www.boliga.dk/maegler/25241</v>
      </c>
      <c r="R44" s="14" t="str">
        <f ca="1">IFERROR(__xludf.DUMMYFUNCTION("""COMPUTED_VALUE"""),"-")</f>
        <v>-</v>
      </c>
      <c r="S44" s="14" t="str">
        <f ca="1">IFERROR(__xludf.DUMMYFUNCTION("""COMPUTED_VALUE"""),"-")</f>
        <v>-</v>
      </c>
      <c r="T44" s="14" t="str">
        <f ca="1">IFERROR(__xludf.DUMMYFUNCTION("""COMPUTED_VALUE"""),"-")</f>
        <v>-</v>
      </c>
      <c r="U44" s="14">
        <f ca="1">IFERROR(__xludf.DUMMYFUNCTION("""COMPUTED_VALUE"""),39)</f>
        <v>39</v>
      </c>
      <c r="V44" s="14" t="str">
        <f ca="1">IFERROR(__xludf.DUMMYFUNCTION("""COMPUTED_VALUE"""),"6093, 6580, 6000, 5500, 6064, 6051, 6091")</f>
        <v>6093, 6580, 6000, 5500, 6064, 6051, 6091</v>
      </c>
      <c r="W44" s="14">
        <f ca="1">IFERROR(__xludf.DUMMYFUNCTION("""COMPUTED_VALUE"""),13)</f>
        <v>13</v>
      </c>
      <c r="X44" s="14" t="str">
        <f ca="1">IFERROR(__xludf.DUMMYFUNCTION("""COMPUTED_VALUE"""),"6000, 6580, 7184, 6064")</f>
        <v>6000, 6580, 7184, 6064</v>
      </c>
      <c r="Y44" s="14" t="str">
        <f ca="1">IFERROR(__xludf.DUMMYFUNCTION("""COMPUTED_VALUE"""),"ja")</f>
        <v>ja</v>
      </c>
      <c r="Z44" s="14"/>
      <c r="AA44" s="14"/>
      <c r="AB44" s="14" t="str">
        <f ca="1">IFERROR(__xludf.DUMMYFUNCTION("""COMPUTED_VALUE"""),"x")</f>
        <v>x</v>
      </c>
      <c r="AC44" s="14" t="str">
        <f ca="1">IFERROR(__xludf.DUMMYFUNCTION("""COMPUTED_VALUE"""),"x")</f>
        <v>x</v>
      </c>
    </row>
    <row r="45" spans="1:29" ht="12.5" x14ac:dyDescent="0.25">
      <c r="A45" s="14" t="str">
        <f ca="1">IFERROR(__xludf.DUMMYFUNCTION("""COMPUTED_VALUE"""),"Camilla")</f>
        <v>Camilla</v>
      </c>
      <c r="B45" s="14" t="str">
        <f ca="1">IFERROR(__xludf.DUMMYFUNCTION("""COMPUTED_VALUE"""),"LokalBolig Vejle P/S")</f>
        <v>LokalBolig Vejle P/S</v>
      </c>
      <c r="C45" s="14">
        <f ca="1">IFERROR(__xludf.DUMMYFUNCTION("""COMPUTED_VALUE"""),35025073)</f>
        <v>35025073</v>
      </c>
      <c r="D45" s="14" t="str">
        <f ca="1">IFERROR(__xludf.DUMMYFUNCTION("""COMPUTED_VALUE"""),"MG-JY: 2.499,-")</f>
        <v>MG-JY: 2.499,-</v>
      </c>
      <c r="E45" s="14">
        <f ca="1">IFERROR(__xludf.DUMMYFUNCTION("""COMPUTED_VALUE"""),1201)</f>
        <v>1201</v>
      </c>
      <c r="F45" s="14" t="str">
        <f ca="1">IFERROR(__xludf.DUMMYFUNCTION("""COMPUTED_VALUE"""),"Bo Harder")</f>
        <v>Bo Harder</v>
      </c>
      <c r="G45" s="14" t="str">
        <f ca="1">IFERROR(__xludf.DUMMYFUNCTION("""COMPUTED_VALUE"""),"bh@lokalbolig.dk")</f>
        <v>bh@lokalbolig.dk</v>
      </c>
      <c r="H45" s="14" t="str">
        <f ca="1">IFERROR(__xludf.DUMMYFUNCTION("""COMPUTED_VALUE"""),"26 30 08 36")</f>
        <v>26 30 08 36</v>
      </c>
      <c r="I45" s="14" t="str">
        <f ca="1">IFERROR(__xludf.DUMMYFUNCTION("""COMPUTED_VALUE"""),"Enghavevej 22 B")</f>
        <v>Enghavevej 22 B</v>
      </c>
      <c r="J45" s="14">
        <f ca="1">IFERROR(__xludf.DUMMYFUNCTION("""COMPUTED_VALUE"""),7100)</f>
        <v>7100</v>
      </c>
      <c r="K45" s="14" t="str">
        <f ca="1">IFERROR(__xludf.DUMMYFUNCTION("""COMPUTED_VALUE"""),"Vejle")</f>
        <v>Vejle</v>
      </c>
      <c r="L45" s="14" t="str">
        <f ca="1">IFERROR(__xludf.DUMMYFUNCTION("""COMPUTED_VALUE"""),"Vejle")</f>
        <v>Vejle</v>
      </c>
      <c r="M45" s="14" t="str">
        <f ca="1">IFERROR(__xludf.DUMMYFUNCTION("""COMPUTED_VALUE"""),"Sydjylland")</f>
        <v>Sydjylland</v>
      </c>
      <c r="N45" s="14" t="str">
        <f ca="1">IFERROR(__xludf.DUMMYFUNCTION("""COMPUTED_VALUE"""),"Syddanmark")</f>
        <v>Syddanmark</v>
      </c>
      <c r="O45" s="14" t="str">
        <f ca="1">IFERROR(__xludf.DUMMYFUNCTION("""COMPUTED_VALUE"""),"72 20 70 79")</f>
        <v>72 20 70 79</v>
      </c>
      <c r="P45" s="14" t="str">
        <f ca="1">IFERROR(__xludf.DUMMYFUNCTION("""COMPUTED_VALUE"""),"vejle@lokalbolig.dk")</f>
        <v>vejle@lokalbolig.dk</v>
      </c>
      <c r="Q45" s="15" t="str">
        <f ca="1">IFERROR(__xludf.DUMMYFUNCTION("""COMPUTED_VALUE"""),"https://www.boliga.dk/maegler/19258")</f>
        <v>https://www.boliga.dk/maegler/19258</v>
      </c>
      <c r="R45" s="14" t="str">
        <f ca="1">IFERROR(__xludf.DUMMYFUNCTION("""COMPUTED_VALUE"""),"-")</f>
        <v>-</v>
      </c>
      <c r="S45" s="14" t="str">
        <f ca="1">IFERROR(__xludf.DUMMYFUNCTION("""COMPUTED_VALUE"""),"-")</f>
        <v>-</v>
      </c>
      <c r="T45" s="14" t="str">
        <f ca="1">IFERROR(__xludf.DUMMYFUNCTION("""COMPUTED_VALUE"""),"-")</f>
        <v>-</v>
      </c>
      <c r="U45" s="14">
        <f ca="1">IFERROR(__xludf.DUMMYFUNCTION("""COMPUTED_VALUE"""),20)</f>
        <v>20</v>
      </c>
      <c r="V45" s="14" t="str">
        <f ca="1">IFERROR(__xludf.DUMMYFUNCTION("""COMPUTED_VALUE"""),"7160, 7100, 7120, 8700, 7300, 7182")</f>
        <v>7160, 7100, 7120, 8700, 7300, 7182</v>
      </c>
      <c r="W45" s="14">
        <f ca="1">IFERROR(__xludf.DUMMYFUNCTION("""COMPUTED_VALUE"""),13)</f>
        <v>13</v>
      </c>
      <c r="X45" s="14" t="str">
        <f ca="1">IFERROR(__xludf.DUMMYFUNCTION("""COMPUTED_VALUE"""),"7120, 7100, 6623")</f>
        <v>7120, 7100, 6623</v>
      </c>
      <c r="Y45" s="14" t="str">
        <f ca="1">IFERROR(__xludf.DUMMYFUNCTION("""COMPUTED_VALUE"""),"ja")</f>
        <v>ja</v>
      </c>
      <c r="Z45" s="14"/>
      <c r="AA45" s="14"/>
      <c r="AB45" s="14" t="str">
        <f ca="1">IFERROR(__xludf.DUMMYFUNCTION("""COMPUTED_VALUE"""),"x")</f>
        <v>x</v>
      </c>
      <c r="AC45" s="14" t="str">
        <f ca="1">IFERROR(__xludf.DUMMYFUNCTION("""COMPUTED_VALUE"""),"x")</f>
        <v>x</v>
      </c>
    </row>
  </sheetData>
  <hyperlinks>
    <hyperlink ref="Q2" r:id="rId1" display="https://www.boliga.dk/maegler/19234" xr:uid="{00000000-0004-0000-0C00-000000000000}"/>
    <hyperlink ref="Q3" r:id="rId2" display="https://www.boliga.dk/maegler/19304" xr:uid="{00000000-0004-0000-0C00-000001000000}"/>
    <hyperlink ref="Q4" r:id="rId3" display="https://www.boliga.dk/maegler/19238" xr:uid="{00000000-0004-0000-0C00-000002000000}"/>
    <hyperlink ref="Q5" r:id="rId4" display="https://www.boliga.dk/maegler/20289" xr:uid="{00000000-0004-0000-0C00-000003000000}"/>
    <hyperlink ref="Q6" r:id="rId5" display="https://www.boliga.dk/maegler/19307" xr:uid="{00000000-0004-0000-0C00-000004000000}"/>
    <hyperlink ref="Q7" r:id="rId6" display="https://www.boliga.dk/maegler/19248" xr:uid="{00000000-0004-0000-0C00-000005000000}"/>
    <hyperlink ref="G8" r:id="rId7" display="mailto:jc@lokalbolig.dk" xr:uid="{00000000-0004-0000-0C00-000006000000}"/>
    <hyperlink ref="Q8" r:id="rId8" display="https://www.boliga.dk/maegler/19253" xr:uid="{00000000-0004-0000-0C00-000007000000}"/>
    <hyperlink ref="Q9" r:id="rId9" display="https://www.boliga.dk/maegler/25741" xr:uid="{00000000-0004-0000-0C00-000008000000}"/>
    <hyperlink ref="Q10" r:id="rId10" display="https://www.boliga.dk/maegler/25214" xr:uid="{00000000-0004-0000-0C00-000009000000}"/>
    <hyperlink ref="Q11" r:id="rId11" display="https://www.boliga.dk/maegler/19259" xr:uid="{00000000-0004-0000-0C00-00000A000000}"/>
    <hyperlink ref="Q12" r:id="rId12" display="https://www.boliga.dk/maegler/19303" xr:uid="{00000000-0004-0000-0C00-00000B000000}"/>
    <hyperlink ref="G13" r:id="rId13" display="mailto:khp@lokalbolig.dk" xr:uid="{00000000-0004-0000-0C00-00000C000000}"/>
    <hyperlink ref="Q13" r:id="rId14" display="https://www.boliga.dk/maegler/25215" xr:uid="{00000000-0004-0000-0C00-00000D000000}"/>
    <hyperlink ref="Q14" r:id="rId15" display="https://www.boliga.dk/maegler/19245" xr:uid="{00000000-0004-0000-0C00-00000E000000}"/>
    <hyperlink ref="Q15" r:id="rId16" display="https://www.boliga.dk/maegler/19251" xr:uid="{00000000-0004-0000-0C00-00000F000000}"/>
    <hyperlink ref="Q16" r:id="rId17" display="https://www.boliga.dk/maegler/19255" xr:uid="{00000000-0004-0000-0C00-000010000000}"/>
    <hyperlink ref="Q17" r:id="rId18" display="https://www.boliga.dk/maegler/19236" xr:uid="{00000000-0004-0000-0C00-000011000000}"/>
    <hyperlink ref="Q18" r:id="rId19" display="https://www.boliga.dk/maegler/19242" xr:uid="{00000000-0004-0000-0C00-000012000000}"/>
    <hyperlink ref="Q19" r:id="rId20" display="https://www.boliga.dk/maegler/19233" xr:uid="{00000000-0004-0000-0C00-000013000000}"/>
    <hyperlink ref="Q20" r:id="rId21" display="https://www.boliga.dk/maegler/24517" xr:uid="{00000000-0004-0000-0C00-000014000000}"/>
    <hyperlink ref="G21" r:id="rId22" display="mailto:m@lokalbolig.dk" xr:uid="{00000000-0004-0000-0C00-000015000000}"/>
    <hyperlink ref="Q21" r:id="rId23" display="https://www.boliga.dk/maegler/25223" xr:uid="{00000000-0004-0000-0C00-000016000000}"/>
    <hyperlink ref="G22" r:id="rId24" display="mailto:m@lokalbolig.dk" xr:uid="{00000000-0004-0000-0C00-000017000000}"/>
    <hyperlink ref="Q22" r:id="rId25" display="https://www.boliga.dk/maegler/19241" xr:uid="{00000000-0004-0000-0C00-000018000000}"/>
    <hyperlink ref="Q23" r:id="rId26" display="https://www.boliga.dk/maegler/19283" xr:uid="{00000000-0004-0000-0C00-000019000000}"/>
    <hyperlink ref="Q24" r:id="rId27" display="https://www.boliga.dk/maegler/23642" xr:uid="{00000000-0004-0000-0C00-00001A000000}"/>
    <hyperlink ref="Q25" r:id="rId28" display="https://www.boliga.dk/maegler/19246" xr:uid="{00000000-0004-0000-0C00-00001B000000}"/>
    <hyperlink ref="Q26" r:id="rId29" display="https://www.boliga.dk/maegler/19243" xr:uid="{00000000-0004-0000-0C00-00001C000000}"/>
    <hyperlink ref="Q27" r:id="rId30" display="https://www.boliga.dk/maegler/25196" xr:uid="{00000000-0004-0000-0C00-00001D000000}"/>
    <hyperlink ref="G28" r:id="rId31" display="mailto:m@lokalbolig.dk" xr:uid="{00000000-0004-0000-0C00-00001E000000}"/>
    <hyperlink ref="Q28" r:id="rId32" display="https://www.boliga.dk/maegler/19257" xr:uid="{00000000-0004-0000-0C00-00001F000000}"/>
    <hyperlink ref="Q29" r:id="rId33" display="https://www.boliga.dk/maegler/25222" xr:uid="{00000000-0004-0000-0C00-000020000000}"/>
    <hyperlink ref="Q30" r:id="rId34" display="https://www.boliga.dk/maegler/18900" xr:uid="{00000000-0004-0000-0C00-000021000000}"/>
    <hyperlink ref="Q31" r:id="rId35" display="https://www.boliga.dk/maegler/28357" xr:uid="{00000000-0004-0000-0C00-000022000000}"/>
    <hyperlink ref="Q32" r:id="rId36" display="https://www.boliga.dk/maegler/29086" xr:uid="{00000000-0004-0000-0C00-000023000000}"/>
    <hyperlink ref="Q33" r:id="rId37" display="https://www.boliga.dk/maegler/26056" xr:uid="{00000000-0004-0000-0C00-000024000000}"/>
    <hyperlink ref="Q34" r:id="rId38" display="https://www.boliga.dk/maegler/23561" xr:uid="{00000000-0004-0000-0C00-000025000000}"/>
    <hyperlink ref="Q35" r:id="rId39" display="https://www.boliga.dk/maegler/25590" xr:uid="{00000000-0004-0000-0C00-000026000000}"/>
    <hyperlink ref="Q36" r:id="rId40" display="https://www.boliga.dk/maegler/19250" xr:uid="{00000000-0004-0000-0C00-000027000000}"/>
    <hyperlink ref="Q37" r:id="rId41" display="https://www.boliga.dk/maegler/19254" xr:uid="{00000000-0004-0000-0C00-000028000000}"/>
    <hyperlink ref="Q38" r:id="rId42" display="https://www.boliga.dk/maegler/19252" xr:uid="{00000000-0004-0000-0C00-000029000000}"/>
    <hyperlink ref="Q39" r:id="rId43" display="https://www.boliga.dk/maegler/25582" xr:uid="{00000000-0004-0000-0C00-00002A000000}"/>
    <hyperlink ref="Q40" r:id="rId44" display="https://www.boliga.dk/maegler/25242" xr:uid="{00000000-0004-0000-0C00-00002B000000}"/>
    <hyperlink ref="Q41" r:id="rId45" display="https://www.boliga.dk/maegler/28345" xr:uid="{00000000-0004-0000-0C00-00002C000000}"/>
    <hyperlink ref="Q42" r:id="rId46" display="https://www.boliga.dk/maegler/21930" xr:uid="{00000000-0004-0000-0C00-00002D000000}"/>
    <hyperlink ref="G43" r:id="rId47" display="mailto:aje@lokalbolig.dk" xr:uid="{00000000-0004-0000-0C00-00002E000000}"/>
    <hyperlink ref="Q43" r:id="rId48" display="https://www.boliga.dk/maegler/19237" xr:uid="{00000000-0004-0000-0C00-00002F000000}"/>
    <hyperlink ref="Q44" r:id="rId49" display="https://www.boliga.dk/maegler/25241" xr:uid="{00000000-0004-0000-0C00-000030000000}"/>
    <hyperlink ref="Q45" r:id="rId50" display="https://www.boliga.dk/maegler/19258" xr:uid="{00000000-0004-0000-0C00-00003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bb2f43-1edc-4ca4-9ebf-b4e9d442027e">
      <Terms xmlns="http://schemas.microsoft.com/office/infopath/2007/PartnerControls"/>
    </lcf76f155ced4ddcb4097134ff3c332f>
    <TaxCatchAll xmlns="f4577474-353b-422d-93a5-77ff5abf744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19C2695F18984D8FAD95955B853407" ma:contentTypeVersion="14" ma:contentTypeDescription="Opret et nyt dokument." ma:contentTypeScope="" ma:versionID="2e3906b6505aa804194a71a360e4ab29">
  <xsd:schema xmlns:xsd="http://www.w3.org/2001/XMLSchema" xmlns:xs="http://www.w3.org/2001/XMLSchema" xmlns:p="http://schemas.microsoft.com/office/2006/metadata/properties" xmlns:ns2="f4577474-353b-422d-93a5-77ff5abf7443" xmlns:ns3="9cbb2f43-1edc-4ca4-9ebf-b4e9d442027e" targetNamespace="http://schemas.microsoft.com/office/2006/metadata/properties" ma:root="true" ma:fieldsID="b6f5d62c867a98d8171df3131ccd15e2" ns2:_="" ns3:_="">
    <xsd:import namespace="f4577474-353b-422d-93a5-77ff5abf7443"/>
    <xsd:import namespace="9cbb2f43-1edc-4ca4-9ebf-b4e9d44202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77474-353b-422d-93a5-77ff5abf74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a57705-b991-475a-9153-813bdf624f3c}" ma:internalName="TaxCatchAll" ma:showField="CatchAllData" ma:web="f4577474-353b-422d-93a5-77ff5abf74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b2f43-1edc-4ca4-9ebf-b4e9d4420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0df840ac-f7fc-41f9-90b9-d1d54ee899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88D97-11AA-4329-8D12-E77AB862F741}">
  <ds:schemaRefs>
    <ds:schemaRef ds:uri="http://schemas.microsoft.com/office/2006/metadata/properties"/>
    <ds:schemaRef ds:uri="http://schemas.microsoft.com/office/infopath/2007/PartnerControls"/>
    <ds:schemaRef ds:uri="9cbb2f43-1edc-4ca4-9ebf-b4e9d442027e"/>
    <ds:schemaRef ds:uri="f4577474-353b-422d-93a5-77ff5abf7443"/>
  </ds:schemaRefs>
</ds:datastoreItem>
</file>

<file path=customXml/itemProps2.xml><?xml version="1.0" encoding="utf-8"?>
<ds:datastoreItem xmlns:ds="http://schemas.openxmlformats.org/officeDocument/2006/customXml" ds:itemID="{517D4D86-0F23-4048-AEF6-E88F72BF8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67F18-5D05-446D-B87A-EE4D86805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77474-353b-422d-93a5-77ff5abf7443"/>
    <ds:schemaRef ds:uri="9cbb2f43-1edc-4ca4-9ebf-b4e9d4420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lukkede aftaler_EDC</vt:lpstr>
      <vt:lpstr>lukkede aftaler_Realmæglerne</vt:lpstr>
      <vt:lpstr>lukkede aftaler_Alle andre</vt:lpstr>
      <vt:lpstr>lukkede aftaler_HOME</vt:lpstr>
      <vt:lpstr>lukkede aftaler_Lokalbolig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 Teller</dc:creator>
  <cp:lastModifiedBy>Ann-Louise Teller</cp:lastModifiedBy>
  <dcterms:created xsi:type="dcterms:W3CDTF">2022-08-15T13:21:22Z</dcterms:created>
  <dcterms:modified xsi:type="dcterms:W3CDTF">2022-08-16T10:00:02Z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0x0101001C19C2695F18984D8FAD95955B853407</vt:lpwstr>
  </property>
</Properties>
</file>