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euroinvestor.sharepoint.com/sites/KommercielleBoliga/Delte dokumenter/Kommercielle produkter/MG-2022/Lister Bo/"/>
    </mc:Choice>
  </mc:AlternateContent>
  <xr:revisionPtr revIDLastSave="0" documentId="8_{381A5025-EAEC-4975-AFE2-39147CE34A8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ukkede aftaler PM" sheetId="3" r:id="rId1"/>
    <sheet name="kontakt per. overblik til Camil" sheetId="4" state="hidden" r:id="rId2"/>
    <sheet name="adresse overblik-Camilla" sheetId="5" state="hidden" r:id="rId3"/>
  </sheets>
  <definedNames>
    <definedName name="_xlnm._FilterDatabase" localSheetId="2" hidden="1">'adresse overblik-Camilla'!$A$1:$Z$146</definedName>
    <definedName name="_xlnm._FilterDatabase" localSheetId="0" hidden="1">'lukkede aftaler PM'!$B$1:$AF$57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3" l="1"/>
  <c r="C4" i="3"/>
  <c r="C6" i="3"/>
  <c r="C47" i="3"/>
  <c r="C27" i="3"/>
  <c r="C26" i="3"/>
  <c r="C25" i="3"/>
  <c r="C24" i="3"/>
  <c r="C23" i="3"/>
  <c r="C22" i="3"/>
  <c r="D50" i="3"/>
  <c r="D6" i="3"/>
  <c r="D7" i="3"/>
  <c r="D8" i="3"/>
  <c r="Y57" i="3"/>
  <c r="Q57" i="3"/>
  <c r="P57" i="3"/>
  <c r="O57" i="3"/>
  <c r="K57" i="3"/>
  <c r="J57" i="3"/>
  <c r="I57" i="3"/>
  <c r="G57" i="3"/>
  <c r="E57" i="3"/>
  <c r="D57" i="3"/>
  <c r="C57" i="3"/>
  <c r="B57" i="3"/>
  <c r="A57" i="3"/>
  <c r="Y56" i="3"/>
  <c r="K56" i="3"/>
  <c r="J56" i="3"/>
  <c r="I56" i="3"/>
  <c r="G56" i="3"/>
  <c r="E56" i="3"/>
  <c r="D56" i="3"/>
  <c r="C56" i="3"/>
  <c r="B56" i="3"/>
  <c r="A56" i="3"/>
  <c r="Y55" i="3"/>
  <c r="Q55" i="3"/>
  <c r="P55" i="3"/>
  <c r="O55" i="3"/>
  <c r="K55" i="3"/>
  <c r="J55" i="3"/>
  <c r="I55" i="3"/>
  <c r="G55" i="3"/>
  <c r="E55" i="3"/>
  <c r="D55" i="3"/>
  <c r="C55" i="3"/>
  <c r="B55" i="3"/>
  <c r="A55" i="3"/>
  <c r="Y54" i="3"/>
  <c r="Q54" i="3"/>
  <c r="K54" i="3"/>
  <c r="J54" i="3"/>
  <c r="I54" i="3"/>
  <c r="G54" i="3"/>
  <c r="E54" i="3"/>
  <c r="D54" i="3"/>
  <c r="C54" i="3"/>
  <c r="B54" i="3"/>
  <c r="A54" i="3"/>
  <c r="Y53" i="3"/>
  <c r="Q53" i="3"/>
  <c r="P53" i="3"/>
  <c r="O53" i="3"/>
  <c r="K53" i="3"/>
  <c r="J53" i="3"/>
  <c r="I53" i="3"/>
  <c r="G53" i="3"/>
  <c r="E53" i="3"/>
  <c r="D53" i="3"/>
  <c r="C53" i="3"/>
  <c r="B53" i="3"/>
  <c r="A53" i="3"/>
  <c r="Y52" i="3"/>
  <c r="Q52" i="3"/>
  <c r="P52" i="3"/>
  <c r="O52" i="3"/>
  <c r="K52" i="3"/>
  <c r="J52" i="3"/>
  <c r="I52" i="3"/>
  <c r="G52" i="3"/>
  <c r="E52" i="3"/>
  <c r="D52" i="3"/>
  <c r="C52" i="3"/>
  <c r="B52" i="3"/>
  <c r="A52" i="3"/>
  <c r="Y51" i="3"/>
  <c r="Q51" i="3"/>
  <c r="P51" i="3"/>
  <c r="O51" i="3"/>
  <c r="K51" i="3"/>
  <c r="J51" i="3"/>
  <c r="I51" i="3"/>
  <c r="G51" i="3"/>
  <c r="E51" i="3"/>
  <c r="D51" i="3"/>
  <c r="C51" i="3"/>
  <c r="B51" i="3"/>
  <c r="A51" i="3"/>
  <c r="Y50" i="3"/>
  <c r="Q50" i="3"/>
  <c r="P50" i="3"/>
  <c r="O50" i="3"/>
  <c r="K50" i="3"/>
  <c r="J50" i="3"/>
  <c r="I50" i="3"/>
  <c r="G50" i="3"/>
  <c r="E50" i="3"/>
  <c r="C50" i="3"/>
  <c r="B50" i="3"/>
  <c r="A50" i="3"/>
  <c r="Y49" i="3"/>
  <c r="Q49" i="3"/>
  <c r="P49" i="3"/>
  <c r="O49" i="3"/>
  <c r="K49" i="3"/>
  <c r="J49" i="3"/>
  <c r="I49" i="3"/>
  <c r="G49" i="3"/>
  <c r="E49" i="3"/>
  <c r="D49" i="3"/>
  <c r="C49" i="3"/>
  <c r="B49" i="3"/>
  <c r="A49" i="3"/>
  <c r="Y48" i="3"/>
  <c r="Q48" i="3"/>
  <c r="P48" i="3"/>
  <c r="O48" i="3"/>
  <c r="K48" i="3"/>
  <c r="J48" i="3"/>
  <c r="I48" i="3"/>
  <c r="G48" i="3"/>
  <c r="E48" i="3"/>
  <c r="D48" i="3"/>
  <c r="C48" i="3"/>
  <c r="B48" i="3"/>
  <c r="A48" i="3"/>
  <c r="Y47" i="3"/>
  <c r="Q47" i="3"/>
  <c r="P47" i="3"/>
  <c r="O47" i="3"/>
  <c r="K47" i="3"/>
  <c r="J47" i="3"/>
  <c r="I47" i="3"/>
  <c r="G47" i="3"/>
  <c r="E47" i="3"/>
  <c r="D47" i="3"/>
  <c r="B47" i="3"/>
  <c r="A47" i="3"/>
  <c r="Y46" i="3"/>
  <c r="Q46" i="3"/>
  <c r="P46" i="3"/>
  <c r="O46" i="3"/>
  <c r="K46" i="3"/>
  <c r="J46" i="3"/>
  <c r="I46" i="3"/>
  <c r="G46" i="3"/>
  <c r="E46" i="3"/>
  <c r="D46" i="3"/>
  <c r="C46" i="3"/>
  <c r="B46" i="3"/>
  <c r="A46" i="3"/>
  <c r="Y45" i="3"/>
  <c r="Q45" i="3"/>
  <c r="P45" i="3"/>
  <c r="O45" i="3"/>
  <c r="K45" i="3"/>
  <c r="J45" i="3"/>
  <c r="I45" i="3"/>
  <c r="G45" i="3"/>
  <c r="B45" i="3"/>
  <c r="A45" i="3"/>
  <c r="Y44" i="3"/>
  <c r="Q44" i="3"/>
  <c r="O44" i="3"/>
  <c r="E44" i="3"/>
  <c r="D44" i="3"/>
  <c r="B44" i="3"/>
  <c r="A44" i="3"/>
  <c r="Y43" i="3"/>
  <c r="Q43" i="3"/>
  <c r="P43" i="3"/>
  <c r="O43" i="3"/>
  <c r="K43" i="3"/>
  <c r="J43" i="3"/>
  <c r="I43" i="3"/>
  <c r="E43" i="3"/>
  <c r="D43" i="3"/>
  <c r="C43" i="3"/>
  <c r="B43" i="3"/>
  <c r="A43" i="3"/>
  <c r="Y42" i="3"/>
  <c r="Q42" i="3"/>
  <c r="P42" i="3"/>
  <c r="O42" i="3"/>
  <c r="K42" i="3"/>
  <c r="J42" i="3"/>
  <c r="I42" i="3"/>
  <c r="G42" i="3"/>
  <c r="E42" i="3"/>
  <c r="D42" i="3"/>
  <c r="C42" i="3"/>
  <c r="B42" i="3"/>
  <c r="A42" i="3"/>
  <c r="Y41" i="3"/>
  <c r="Q41" i="3"/>
  <c r="P41" i="3"/>
  <c r="O41" i="3"/>
  <c r="K41" i="3"/>
  <c r="J41" i="3"/>
  <c r="I41" i="3"/>
  <c r="G41" i="3"/>
  <c r="E41" i="3"/>
  <c r="D41" i="3"/>
  <c r="C41" i="3"/>
  <c r="B41" i="3"/>
  <c r="A41" i="3"/>
  <c r="Y40" i="3"/>
  <c r="Q40" i="3"/>
  <c r="P40" i="3"/>
  <c r="O40" i="3"/>
  <c r="K40" i="3"/>
  <c r="J40" i="3"/>
  <c r="I40" i="3"/>
  <c r="G40" i="3"/>
  <c r="E40" i="3"/>
  <c r="D40" i="3"/>
  <c r="C40" i="3"/>
  <c r="B40" i="3"/>
  <c r="A40" i="3"/>
  <c r="Y39" i="3"/>
  <c r="Q39" i="3"/>
  <c r="P39" i="3"/>
  <c r="O39" i="3"/>
  <c r="K39" i="3"/>
  <c r="J39" i="3"/>
  <c r="I39" i="3"/>
  <c r="G39" i="3"/>
  <c r="E39" i="3"/>
  <c r="D39" i="3"/>
  <c r="C39" i="3"/>
  <c r="B39" i="3"/>
  <c r="A39" i="3"/>
  <c r="Y38" i="3"/>
  <c r="Q38" i="3"/>
  <c r="P38" i="3"/>
  <c r="O38" i="3"/>
  <c r="K38" i="3"/>
  <c r="J38" i="3"/>
  <c r="I38" i="3"/>
  <c r="G38" i="3"/>
  <c r="E38" i="3"/>
  <c r="D38" i="3"/>
  <c r="C38" i="3"/>
  <c r="B38" i="3"/>
  <c r="A38" i="3"/>
  <c r="Y37" i="3"/>
  <c r="Q37" i="3"/>
  <c r="P37" i="3"/>
  <c r="O37" i="3"/>
  <c r="K37" i="3"/>
  <c r="J37" i="3"/>
  <c r="I37" i="3"/>
  <c r="G37" i="3"/>
  <c r="E37" i="3"/>
  <c r="D37" i="3"/>
  <c r="C37" i="3"/>
  <c r="B37" i="3"/>
  <c r="A37" i="3"/>
  <c r="Y36" i="3"/>
  <c r="Q36" i="3"/>
  <c r="P36" i="3"/>
  <c r="O36" i="3"/>
  <c r="K36" i="3"/>
  <c r="J36" i="3"/>
  <c r="I36" i="3"/>
  <c r="G36" i="3"/>
  <c r="E36" i="3"/>
  <c r="D36" i="3"/>
  <c r="C36" i="3"/>
  <c r="B36" i="3"/>
  <c r="A36" i="3"/>
  <c r="Y35" i="3"/>
  <c r="Q35" i="3"/>
  <c r="P35" i="3"/>
  <c r="O35" i="3"/>
  <c r="K35" i="3"/>
  <c r="J35" i="3"/>
  <c r="I35" i="3"/>
  <c r="G35" i="3"/>
  <c r="E35" i="3"/>
  <c r="D35" i="3"/>
  <c r="C35" i="3"/>
  <c r="B35" i="3"/>
  <c r="A35" i="3"/>
  <c r="Y34" i="3"/>
  <c r="Q34" i="3"/>
  <c r="P34" i="3"/>
  <c r="O34" i="3"/>
  <c r="K34" i="3"/>
  <c r="J34" i="3"/>
  <c r="I34" i="3"/>
  <c r="G34" i="3"/>
  <c r="E34" i="3"/>
  <c r="D34" i="3"/>
  <c r="C34" i="3"/>
  <c r="B34" i="3"/>
  <c r="A34" i="3"/>
  <c r="Y33" i="3"/>
  <c r="Q33" i="3"/>
  <c r="P33" i="3"/>
  <c r="O33" i="3"/>
  <c r="K33" i="3"/>
  <c r="J33" i="3"/>
  <c r="I33" i="3"/>
  <c r="G33" i="3"/>
  <c r="E33" i="3"/>
  <c r="D33" i="3"/>
  <c r="C33" i="3"/>
  <c r="B33" i="3"/>
  <c r="A33" i="3"/>
  <c r="Y32" i="3"/>
  <c r="Q32" i="3"/>
  <c r="P32" i="3"/>
  <c r="O32" i="3"/>
  <c r="K32" i="3"/>
  <c r="J32" i="3"/>
  <c r="I32" i="3"/>
  <c r="G32" i="3"/>
  <c r="E32" i="3"/>
  <c r="D32" i="3"/>
  <c r="C32" i="3"/>
  <c r="B32" i="3"/>
  <c r="A32" i="3"/>
  <c r="Y31" i="3"/>
  <c r="Q31" i="3"/>
  <c r="P31" i="3"/>
  <c r="O31" i="3"/>
  <c r="K31" i="3"/>
  <c r="J31" i="3"/>
  <c r="I31" i="3"/>
  <c r="E31" i="3"/>
  <c r="D31" i="3"/>
  <c r="C31" i="3"/>
  <c r="B31" i="3"/>
  <c r="A31" i="3"/>
  <c r="Y30" i="3"/>
  <c r="Q30" i="3"/>
  <c r="P30" i="3"/>
  <c r="O30" i="3"/>
  <c r="K30" i="3"/>
  <c r="J30" i="3"/>
  <c r="I30" i="3"/>
  <c r="E30" i="3"/>
  <c r="D30" i="3"/>
  <c r="C30" i="3"/>
  <c r="B30" i="3"/>
  <c r="A30" i="3"/>
  <c r="Y29" i="3"/>
  <c r="Q29" i="3"/>
  <c r="P29" i="3"/>
  <c r="O29" i="3"/>
  <c r="K29" i="3"/>
  <c r="J29" i="3"/>
  <c r="I29" i="3"/>
  <c r="G29" i="3"/>
  <c r="E29" i="3"/>
  <c r="D29" i="3"/>
  <c r="C29" i="3"/>
  <c r="B29" i="3"/>
  <c r="A29" i="3"/>
  <c r="Y28" i="3"/>
  <c r="Q28" i="3"/>
  <c r="P28" i="3"/>
  <c r="O28" i="3"/>
  <c r="K28" i="3"/>
  <c r="J28" i="3"/>
  <c r="I28" i="3"/>
  <c r="G28" i="3"/>
  <c r="E28" i="3"/>
  <c r="D28" i="3"/>
  <c r="C28" i="3"/>
  <c r="B28" i="3"/>
  <c r="A28" i="3"/>
  <c r="Y27" i="3"/>
  <c r="Q27" i="3"/>
  <c r="P27" i="3"/>
  <c r="O27" i="3"/>
  <c r="K27" i="3"/>
  <c r="J27" i="3"/>
  <c r="I27" i="3"/>
  <c r="G27" i="3"/>
  <c r="E27" i="3"/>
  <c r="D27" i="3"/>
  <c r="B27" i="3"/>
  <c r="A27" i="3"/>
  <c r="Y26" i="3"/>
  <c r="Q26" i="3"/>
  <c r="P26" i="3"/>
  <c r="O26" i="3"/>
  <c r="K26" i="3"/>
  <c r="J26" i="3"/>
  <c r="I26" i="3"/>
  <c r="G26" i="3"/>
  <c r="E26" i="3"/>
  <c r="D26" i="3"/>
  <c r="B26" i="3"/>
  <c r="A26" i="3"/>
  <c r="Y25" i="3"/>
  <c r="Q25" i="3"/>
  <c r="P25" i="3"/>
  <c r="O25" i="3"/>
  <c r="K25" i="3"/>
  <c r="J25" i="3"/>
  <c r="I25" i="3"/>
  <c r="G25" i="3"/>
  <c r="E25" i="3"/>
  <c r="D25" i="3"/>
  <c r="B25" i="3"/>
  <c r="A25" i="3"/>
  <c r="Y24" i="3"/>
  <c r="Q24" i="3"/>
  <c r="P24" i="3"/>
  <c r="O24" i="3"/>
  <c r="K24" i="3"/>
  <c r="J24" i="3"/>
  <c r="I24" i="3"/>
  <c r="G24" i="3"/>
  <c r="E24" i="3"/>
  <c r="D24" i="3"/>
  <c r="B24" i="3"/>
  <c r="A24" i="3"/>
  <c r="Y23" i="3"/>
  <c r="Q23" i="3"/>
  <c r="P23" i="3"/>
  <c r="O23" i="3"/>
  <c r="K23" i="3"/>
  <c r="J23" i="3"/>
  <c r="I23" i="3"/>
  <c r="G23" i="3"/>
  <c r="E23" i="3"/>
  <c r="D23" i="3"/>
  <c r="B23" i="3"/>
  <c r="A23" i="3"/>
  <c r="Y22" i="3"/>
  <c r="Q22" i="3"/>
  <c r="P22" i="3"/>
  <c r="O22" i="3"/>
  <c r="K22" i="3"/>
  <c r="J22" i="3"/>
  <c r="I22" i="3"/>
  <c r="G22" i="3"/>
  <c r="E22" i="3"/>
  <c r="D22" i="3"/>
  <c r="B22" i="3"/>
  <c r="A22" i="3"/>
  <c r="Y21" i="3"/>
  <c r="Q21" i="3"/>
  <c r="P21" i="3"/>
  <c r="O21" i="3"/>
  <c r="K21" i="3"/>
  <c r="J21" i="3"/>
  <c r="I21" i="3"/>
  <c r="G21" i="3"/>
  <c r="E21" i="3"/>
  <c r="D21" i="3"/>
  <c r="C21" i="3"/>
  <c r="B21" i="3"/>
  <c r="A21" i="3"/>
  <c r="Y20" i="3"/>
  <c r="Q20" i="3"/>
  <c r="P20" i="3"/>
  <c r="O20" i="3"/>
  <c r="K20" i="3"/>
  <c r="J20" i="3"/>
  <c r="I20" i="3"/>
  <c r="G20" i="3"/>
  <c r="E20" i="3"/>
  <c r="D20" i="3"/>
  <c r="C20" i="3"/>
  <c r="B20" i="3"/>
  <c r="A20" i="3"/>
  <c r="Y19" i="3"/>
  <c r="Q19" i="3"/>
  <c r="P19" i="3"/>
  <c r="O19" i="3"/>
  <c r="K19" i="3"/>
  <c r="J19" i="3"/>
  <c r="I19" i="3"/>
  <c r="G19" i="3"/>
  <c r="E19" i="3"/>
  <c r="D19" i="3"/>
  <c r="C19" i="3"/>
  <c r="B19" i="3"/>
  <c r="A19" i="3"/>
  <c r="Y18" i="3"/>
  <c r="Q18" i="3"/>
  <c r="P18" i="3"/>
  <c r="O18" i="3"/>
  <c r="K18" i="3"/>
  <c r="J18" i="3"/>
  <c r="I18" i="3"/>
  <c r="G18" i="3"/>
  <c r="E18" i="3"/>
  <c r="D18" i="3"/>
  <c r="C18" i="3"/>
  <c r="B18" i="3"/>
  <c r="A18" i="3"/>
  <c r="Y17" i="3"/>
  <c r="Q17" i="3"/>
  <c r="P17" i="3"/>
  <c r="O17" i="3"/>
  <c r="K17" i="3"/>
  <c r="J17" i="3"/>
  <c r="I17" i="3"/>
  <c r="G17" i="3"/>
  <c r="E17" i="3"/>
  <c r="D17" i="3"/>
  <c r="C17" i="3"/>
  <c r="B17" i="3"/>
  <c r="A17" i="3"/>
  <c r="Y16" i="3"/>
  <c r="Q16" i="3"/>
  <c r="P16" i="3"/>
  <c r="O16" i="3"/>
  <c r="K16" i="3"/>
  <c r="J16" i="3"/>
  <c r="I16" i="3"/>
  <c r="G16" i="3"/>
  <c r="E16" i="3"/>
  <c r="D16" i="3"/>
  <c r="C16" i="3"/>
  <c r="B16" i="3"/>
  <c r="A16" i="3"/>
  <c r="Y15" i="3"/>
  <c r="Q15" i="3"/>
  <c r="P15" i="3"/>
  <c r="O15" i="3"/>
  <c r="K15" i="3"/>
  <c r="J15" i="3"/>
  <c r="I15" i="3"/>
  <c r="G15" i="3"/>
  <c r="E15" i="3"/>
  <c r="D15" i="3"/>
  <c r="C15" i="3"/>
  <c r="B15" i="3"/>
  <c r="A15" i="3"/>
  <c r="Y14" i="3"/>
  <c r="Q14" i="3"/>
  <c r="P14" i="3"/>
  <c r="O14" i="3"/>
  <c r="K14" i="3"/>
  <c r="J14" i="3"/>
  <c r="I14" i="3"/>
  <c r="G14" i="3"/>
  <c r="E14" i="3"/>
  <c r="D14" i="3"/>
  <c r="C14" i="3"/>
  <c r="B14" i="3"/>
  <c r="A14" i="3"/>
  <c r="Y13" i="3"/>
  <c r="Q13" i="3"/>
  <c r="P13" i="3"/>
  <c r="O13" i="3"/>
  <c r="K13" i="3"/>
  <c r="J13" i="3"/>
  <c r="I13" i="3"/>
  <c r="G13" i="3"/>
  <c r="E13" i="3"/>
  <c r="D13" i="3"/>
  <c r="C13" i="3"/>
  <c r="B13" i="3"/>
  <c r="A13" i="3"/>
  <c r="Y12" i="3"/>
  <c r="Q12" i="3"/>
  <c r="P12" i="3"/>
  <c r="O12" i="3"/>
  <c r="K12" i="3"/>
  <c r="J12" i="3"/>
  <c r="I12" i="3"/>
  <c r="G12" i="3"/>
  <c r="E12" i="3"/>
  <c r="D12" i="3"/>
  <c r="C12" i="3"/>
  <c r="B12" i="3"/>
  <c r="A12" i="3"/>
  <c r="Y11" i="3"/>
  <c r="Q11" i="3"/>
  <c r="P11" i="3"/>
  <c r="O11" i="3"/>
  <c r="K11" i="3"/>
  <c r="J11" i="3"/>
  <c r="I11" i="3"/>
  <c r="G11" i="3"/>
  <c r="E11" i="3"/>
  <c r="D11" i="3"/>
  <c r="C11" i="3"/>
  <c r="B11" i="3"/>
  <c r="A11" i="3"/>
  <c r="Y10" i="3"/>
  <c r="Q10" i="3"/>
  <c r="P10" i="3"/>
  <c r="O10" i="3"/>
  <c r="K10" i="3"/>
  <c r="J10" i="3"/>
  <c r="I10" i="3"/>
  <c r="G10" i="3"/>
  <c r="E10" i="3"/>
  <c r="D10" i="3"/>
  <c r="C10" i="3"/>
  <c r="B10" i="3"/>
  <c r="A10" i="3"/>
  <c r="Y9" i="3"/>
  <c r="Q9" i="3"/>
  <c r="P9" i="3"/>
  <c r="O9" i="3"/>
  <c r="K9" i="3"/>
  <c r="J9" i="3"/>
  <c r="I9" i="3"/>
  <c r="G9" i="3"/>
  <c r="E9" i="3"/>
  <c r="D9" i="3"/>
  <c r="C9" i="3"/>
  <c r="B9" i="3"/>
  <c r="A9" i="3"/>
  <c r="Y8" i="3"/>
  <c r="Q8" i="3"/>
  <c r="P8" i="3"/>
  <c r="O8" i="3"/>
  <c r="K8" i="3"/>
  <c r="J8" i="3"/>
  <c r="I8" i="3"/>
  <c r="G8" i="3"/>
  <c r="E8" i="3"/>
  <c r="C8" i="3"/>
  <c r="B8" i="3"/>
  <c r="A8" i="3"/>
  <c r="Y7" i="3"/>
  <c r="Q7" i="3"/>
  <c r="P7" i="3"/>
  <c r="O7" i="3"/>
  <c r="K7" i="3"/>
  <c r="J7" i="3"/>
  <c r="I7" i="3"/>
  <c r="G7" i="3"/>
  <c r="E7" i="3"/>
  <c r="C7" i="3"/>
  <c r="B7" i="3"/>
  <c r="A7" i="3"/>
  <c r="Y6" i="3"/>
  <c r="Q6" i="3"/>
  <c r="P6" i="3"/>
  <c r="O6" i="3"/>
  <c r="K6" i="3"/>
  <c r="J6" i="3"/>
  <c r="I6" i="3"/>
  <c r="G6" i="3"/>
  <c r="E6" i="3"/>
  <c r="B6" i="3"/>
  <c r="A6" i="3"/>
  <c r="Y5" i="3"/>
  <c r="Q5" i="3"/>
  <c r="P5" i="3"/>
  <c r="O5" i="3"/>
  <c r="K5" i="3"/>
  <c r="J5" i="3"/>
  <c r="I5" i="3"/>
  <c r="G5" i="3"/>
  <c r="B5" i="3"/>
  <c r="A5" i="3"/>
  <c r="Y4" i="3"/>
  <c r="Q4" i="3"/>
  <c r="P4" i="3"/>
  <c r="O4" i="3"/>
  <c r="K4" i="3"/>
  <c r="J4" i="3"/>
  <c r="I4" i="3"/>
  <c r="G4" i="3"/>
  <c r="E4" i="3"/>
  <c r="D4" i="3"/>
  <c r="B4" i="3"/>
  <c r="A4" i="3"/>
  <c r="Y3" i="3"/>
  <c r="Q3" i="3"/>
  <c r="P3" i="3"/>
  <c r="O3" i="3"/>
  <c r="K3" i="3"/>
  <c r="J3" i="3"/>
  <c r="I3" i="3"/>
  <c r="G3" i="3"/>
  <c r="E3" i="3"/>
  <c r="D3" i="3"/>
  <c r="B3" i="3"/>
  <c r="A3" i="3"/>
  <c r="Y2" i="3"/>
  <c r="Q2" i="3"/>
  <c r="P2" i="3"/>
  <c r="O2" i="3"/>
  <c r="K2" i="3"/>
  <c r="J2" i="3"/>
  <c r="I2" i="3"/>
  <c r="G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<sst xmlns="http://schemas.openxmlformats.org/spreadsheetml/2006/main" count="2781" uniqueCount="1649">
  <si>
    <t>MG-PM-JY: 1.949,-</t>
  </si>
  <si>
    <t>Ansvarlig</t>
  </si>
  <si>
    <t>Mæglernavn</t>
  </si>
  <si>
    <t>CVR</t>
  </si>
  <si>
    <t>Produktnavn</t>
  </si>
  <si>
    <t>Produktnr. (Economics)</t>
  </si>
  <si>
    <t>Primær kontakt</t>
  </si>
  <si>
    <t>Primær kontakt (mail)</t>
  </si>
  <si>
    <t>primær kontakt (tlf)</t>
  </si>
  <si>
    <t>Adresse</t>
  </si>
  <si>
    <t>Postnr</t>
  </si>
  <si>
    <t>Postdistrikt</t>
  </si>
  <si>
    <t>Kommune</t>
  </si>
  <si>
    <t>Landsdel</t>
  </si>
  <si>
    <t>Region</t>
  </si>
  <si>
    <t>Tlf</t>
  </si>
  <si>
    <t>Email</t>
  </si>
  <si>
    <t>Link</t>
  </si>
  <si>
    <t>PM postnumre</t>
  </si>
  <si>
    <t>PM start</t>
  </si>
  <si>
    <t>PM stop</t>
  </si>
  <si>
    <t>Udbud</t>
  </si>
  <si>
    <t>Postnumre med udbud</t>
  </si>
  <si>
    <t>Handler (6 mdr.)</t>
  </si>
  <si>
    <t>Postnumre med handler</t>
  </si>
  <si>
    <t>MG ja/nej/måske/møde</t>
  </si>
  <si>
    <t>kommentar</t>
  </si>
  <si>
    <t>Dato (evt. Møde)</t>
  </si>
  <si>
    <t>kontrakt sendt</t>
  </si>
  <si>
    <t>bekræftelse modtaget</t>
  </si>
  <si>
    <t>Premium 2022</t>
  </si>
  <si>
    <t>Martin</t>
  </si>
  <si>
    <t>DB I ODENSE - HJALLESE</t>
  </si>
  <si>
    <t>Adam.arildsen@danbolig.dk</t>
  </si>
  <si>
    <t>Odensevej 95</t>
  </si>
  <si>
    <t>Odense S</t>
  </si>
  <si>
    <t>66194884 - 1</t>
  </si>
  <si>
    <t>hjallese@danbolig.dk</t>
  </si>
  <si>
    <t>https://www.boliga.dk/maegler/17503</t>
  </si>
  <si>
    <t>DB Larsen &amp; Larnæs</t>
  </si>
  <si>
    <t>anders.larsen@danbolig.dk</t>
  </si>
  <si>
    <t>Hørsholm</t>
  </si>
  <si>
    <t>4576 1400</t>
  </si>
  <si>
    <t>hoersholm@danbolig.dk</t>
  </si>
  <si>
    <t>https://www.boliga.dk/maegler/802</t>
  </si>
  <si>
    <t>DB Asnæs Sven Øvre</t>
  </si>
  <si>
    <t>asnaes@danbolig.dk</t>
  </si>
  <si>
    <t>Storegade 17</t>
  </si>
  <si>
    <t>Asnæs</t>
  </si>
  <si>
    <t>5962 8404</t>
  </si>
  <si>
    <t>https://www.boliga.dk/maegler/18123</t>
  </si>
  <si>
    <t>Holstebro</t>
  </si>
  <si>
    <t>holstebro@danbolig.dk</t>
  </si>
  <si>
    <t>https://www.boliga.dk/maegler/28859</t>
  </si>
  <si>
    <t>DB Lyngby</t>
  </si>
  <si>
    <t>Lyngby Torv 2A</t>
  </si>
  <si>
    <t>4593 5400</t>
  </si>
  <si>
    <t>Lyngby@DanBolig.dk</t>
  </si>
  <si>
    <t>https://www.boliga.dk/maegler/715</t>
  </si>
  <si>
    <t>DB Virum</t>
  </si>
  <si>
    <t>Virum</t>
  </si>
  <si>
    <t>4585 1230</t>
  </si>
  <si>
    <t>Virum@danbolig.dk</t>
  </si>
  <si>
    <t>https://www.boliga.dk/maegler/972</t>
  </si>
  <si>
    <t>DB Helsingør V/Kim Nielsen &amp; Casper Nielsen</t>
  </si>
  <si>
    <t>Casper.nielsen@danbolig.dk</t>
  </si>
  <si>
    <t>Helsingør</t>
  </si>
  <si>
    <t>Helsingoer@DanBolig.dk</t>
  </si>
  <si>
    <t>https://www.boliga.dk/maegler/826</t>
  </si>
  <si>
    <t>DB ALSTRUP &amp; INGEMANN (Vanløse)</t>
  </si>
  <si>
    <t>Cathrine.ingemann@danbolig.dk</t>
  </si>
  <si>
    <t>Vanløse</t>
  </si>
  <si>
    <t>3879 1444</t>
  </si>
  <si>
    <t>Vanloese@danbolig.dk</t>
  </si>
  <si>
    <t>https://www.boliga.dk/maegler/251</t>
  </si>
  <si>
    <t>DB Randers</t>
  </si>
  <si>
    <t>christian.mortensen@danbolig.dk</t>
  </si>
  <si>
    <t>Randers C</t>
  </si>
  <si>
    <t>8644 0204</t>
  </si>
  <si>
    <t>randers@danbolig.dk</t>
  </si>
  <si>
    <t>https://www.boliga.dk/maegler/18068</t>
  </si>
  <si>
    <t>DB DREYER (Svendborg)</t>
  </si>
  <si>
    <t>Claus.dreyer@danbolig.dk</t>
  </si>
  <si>
    <t>Centrumpladsen 6</t>
  </si>
  <si>
    <t>Svendborg</t>
  </si>
  <si>
    <t>6221 4484</t>
  </si>
  <si>
    <t>Svendborg@danbolig.dk</t>
  </si>
  <si>
    <t>https://www.boliga.dk/maegler/18103</t>
  </si>
  <si>
    <t>DB HØJBY - ELLINGE LYNG</t>
  </si>
  <si>
    <t>dennis.hoilund@danbolig.dk</t>
  </si>
  <si>
    <t>Lyngvej 77</t>
  </si>
  <si>
    <t>Højby</t>
  </si>
  <si>
    <t>5930 3161</t>
  </si>
  <si>
    <t>Hoejby@danbolig.dk</t>
  </si>
  <si>
    <t>https://www.boliga.dk/maegler/767</t>
  </si>
  <si>
    <t>DB NYKØBING SJ</t>
  </si>
  <si>
    <t>5991 3838</t>
  </si>
  <si>
    <t>nykoebing-sj@danbolig.dk</t>
  </si>
  <si>
    <t>https://www.boliga.dk/maegler/17937</t>
  </si>
  <si>
    <t>DB Gentofte</t>
  </si>
  <si>
    <t>Frederik.fausing@danbolig.dk</t>
  </si>
  <si>
    <t>Gentoftegade 49</t>
  </si>
  <si>
    <t>Gentofte</t>
  </si>
  <si>
    <t>3940 8090</t>
  </si>
  <si>
    <t>gentofte@danbolig.dk</t>
  </si>
  <si>
    <t>https://www.boliga.dk/maegler/388</t>
  </si>
  <si>
    <t>DB Ballerup/Smørum - Henrik Dreyer &amp; Brian Dreyer Larsen</t>
  </si>
  <si>
    <t>henrik.dreyer@danbolig.dk</t>
  </si>
  <si>
    <t>Centrumgaden 14</t>
  </si>
  <si>
    <t>Ballerup</t>
  </si>
  <si>
    <t>ballerup-smoerum@danbolig.dk</t>
  </si>
  <si>
    <t>https://www.boliga.dk/maegler/299</t>
  </si>
  <si>
    <t>DB HOLBÆK - HENRIK LARSEN</t>
  </si>
  <si>
    <t>Ahlgade 24</t>
  </si>
  <si>
    <t>Holbæk</t>
  </si>
  <si>
    <t>holbaek@danbolig.dk</t>
  </si>
  <si>
    <t>https://www.boliga.dk/maegler/885</t>
  </si>
  <si>
    <t>DB Odense C</t>
  </si>
  <si>
    <t>henrik.pilegaard@danbolig.dk</t>
  </si>
  <si>
    <t>Skibhusvej 76</t>
  </si>
  <si>
    <t>Odense C</t>
  </si>
  <si>
    <t>6619 4884</t>
  </si>
  <si>
    <t>odensec@danbolig.dk</t>
  </si>
  <si>
    <t>https://www.boliga.dk/maegler/18162</t>
  </si>
  <si>
    <t>DB Allerød</t>
  </si>
  <si>
    <t>jan.persson@danbolig.dk</t>
  </si>
  <si>
    <t>Allerød</t>
  </si>
  <si>
    <t>4817 0008</t>
  </si>
  <si>
    <t>alleroed@danbolig.dk</t>
  </si>
  <si>
    <t>https://www.boliga.dk/maegler/162</t>
  </si>
  <si>
    <t>DB LANGELAND</t>
  </si>
  <si>
    <t>Rudkøbing</t>
  </si>
  <si>
    <t>Langeland@danbolig.dk</t>
  </si>
  <si>
    <t>https://www.boliga.dk/maegler/17518</t>
  </si>
  <si>
    <t>LokalBolig Charlottenlund/Klampenborg</t>
  </si>
  <si>
    <t>jv@lokalbolig.dk</t>
  </si>
  <si>
    <t>Charlottenlund</t>
  </si>
  <si>
    <t>39 62 66 00</t>
  </si>
  <si>
    <t>charlottenlund@lokalbolig.dk</t>
  </si>
  <si>
    <t>https://www.boliga.dk/maegler/20288</t>
  </si>
  <si>
    <t>LOKALBOLIG GENTOFTE</t>
  </si>
  <si>
    <t>https://www.boliga.dk/maegler/19306</t>
  </si>
  <si>
    <t>LOKALBOLIG HELLERUP</t>
  </si>
  <si>
    <t>Strandvejen 130C</t>
  </si>
  <si>
    <t>Hellerup</t>
  </si>
  <si>
    <t>hellerup@lokalbolig.dk</t>
  </si>
  <si>
    <t>https://www.boliga.dk/maegler/19239</t>
  </si>
  <si>
    <t>DB HVIDOVRE</t>
  </si>
  <si>
    <t>Hvidovre</t>
  </si>
  <si>
    <t>3635 0000</t>
  </si>
  <si>
    <t>Hvidovre@DanBolig.dk</t>
  </si>
  <si>
    <t>https://www.boliga.dk/maegler/607</t>
  </si>
  <si>
    <t>DB STENLØSE</t>
  </si>
  <si>
    <t>Egedal Centret 25</t>
  </si>
  <si>
    <t>Stenløse</t>
  </si>
  <si>
    <t>stenloese@danbolig.dk</t>
  </si>
  <si>
    <t>https://www.boliga.dk/maegler/604</t>
  </si>
  <si>
    <t>DB Ringsted</t>
  </si>
  <si>
    <t>Nørregade 46</t>
  </si>
  <si>
    <t>Ringsted</t>
  </si>
  <si>
    <t>ringsted@danbolig.dk</t>
  </si>
  <si>
    <t>https://www.boliga.dk/maegler/22726</t>
  </si>
  <si>
    <t>DB RØDOVRE</t>
  </si>
  <si>
    <t>Rødovrevej 265</t>
  </si>
  <si>
    <t>Rødovre</t>
  </si>
  <si>
    <t>Roedovre@danbolig.dk</t>
  </si>
  <si>
    <t>https://www.boliga.dk/maegler/303</t>
  </si>
  <si>
    <t>DB Sorø</t>
  </si>
  <si>
    <t>Storgade 3</t>
  </si>
  <si>
    <t>Sorø</t>
  </si>
  <si>
    <t>soroe@danbolig.dk</t>
  </si>
  <si>
    <t>https://www.boliga.dk/maegler/25268</t>
  </si>
  <si>
    <t>DB TAASTRUP / HEDEHUSENE</t>
  </si>
  <si>
    <t>Taastrup@danbolig.dk</t>
  </si>
  <si>
    <t>https://www.boliga.dk/maegler/1031</t>
  </si>
  <si>
    <t>DB Herlev</t>
  </si>
  <si>
    <t>Herlev Torv 5 E</t>
  </si>
  <si>
    <t>Herlev</t>
  </si>
  <si>
    <t>4447 6060</t>
  </si>
  <si>
    <t>herlev@danbolig.dk</t>
  </si>
  <si>
    <t>https://www.boliga.dk/maegler/17500</t>
  </si>
  <si>
    <t>DB Værløse</t>
  </si>
  <si>
    <t>Bymidten 112</t>
  </si>
  <si>
    <t>Værløse</t>
  </si>
  <si>
    <t>vaerloese@danbolig.dk</t>
  </si>
  <si>
    <t>https://www.boliga.dk/maegler/926</t>
  </si>
  <si>
    <t>DB Gilleleje</t>
  </si>
  <si>
    <t>kristian.eriksen@danbolig.dk</t>
  </si>
  <si>
    <t>Gilleleje</t>
  </si>
  <si>
    <t>4839 3833</t>
  </si>
  <si>
    <t>Gilleleje@danbolig.dk</t>
  </si>
  <si>
    <t>https://www.boliga.dk/maegler/847</t>
  </si>
  <si>
    <t>DB Birkerød</t>
  </si>
  <si>
    <t>lars.holm@danbolig.dk</t>
  </si>
  <si>
    <t>Hovedgaden 39</t>
  </si>
  <si>
    <t>Birkerød</t>
  </si>
  <si>
    <t>birkeroed@danbolig.dk</t>
  </si>
  <si>
    <t>https://www.boliga.dk/maegler/277</t>
  </si>
  <si>
    <t>DB Bagsværd HOLM &amp; HAUBERG</t>
  </si>
  <si>
    <t>morten.hauberg@danbolig.dk</t>
  </si>
  <si>
    <t>Bagsværd Hovedgade 93</t>
  </si>
  <si>
    <t>Bagsværd</t>
  </si>
  <si>
    <t>4449 1444</t>
  </si>
  <si>
    <t>Bagsvaerd@danbolig.dk</t>
  </si>
  <si>
    <t>https://www.boliga.dk/maegler/113</t>
  </si>
  <si>
    <t>DB Brønshøj HOLM &amp; HAUBERG</t>
  </si>
  <si>
    <t>Frederikssundsvej 208</t>
  </si>
  <si>
    <t>Brønshøj</t>
  </si>
  <si>
    <t>3889 1444</t>
  </si>
  <si>
    <t>Broenshoej@danbolig.dk</t>
  </si>
  <si>
    <t>https://www.boliga.dk/maegler/18127</t>
  </si>
  <si>
    <t>DB Søborg HOLM &amp; HAUBERG</t>
  </si>
  <si>
    <t>Søborg Hovedgade 92</t>
  </si>
  <si>
    <t>Søborg</t>
  </si>
  <si>
    <t>3956 1444</t>
  </si>
  <si>
    <t>soeborg@danbolig.dk</t>
  </si>
  <si>
    <t>https://www.boliga.dk/maegler/220</t>
  </si>
  <si>
    <t>Holm &amp; Hauberg BoligCenter Valby/København SV</t>
  </si>
  <si>
    <t>Valby Langgade 114</t>
  </si>
  <si>
    <t>Valby</t>
  </si>
  <si>
    <t>valby@danbolig.dk</t>
  </si>
  <si>
    <t>https://www.boliga.dk/maegler/201</t>
  </si>
  <si>
    <t>DB Vesterbro HOLM &amp; HAUBERG</t>
  </si>
  <si>
    <t>Istedgade 132</t>
  </si>
  <si>
    <t>København V</t>
  </si>
  <si>
    <t>vesterbro@danbolig.dk</t>
  </si>
  <si>
    <t>https://www.boliga.dk/maegler/17934</t>
  </si>
  <si>
    <t>Nybolig Mariann Trolledahl Greve Strand</t>
  </si>
  <si>
    <t>mtt@nybolig.dk</t>
  </si>
  <si>
    <t>Hundige Strandvej 213</t>
  </si>
  <si>
    <t>4390 2122</t>
  </si>
  <si>
    <t>2670@nybolig.dk</t>
  </si>
  <si>
    <t>https://www.boliga.dk/maegler/805</t>
  </si>
  <si>
    <t>43 54 21 22</t>
  </si>
  <si>
    <t>2665@nybolig.dk</t>
  </si>
  <si>
    <t>https://www.boliga.dk/maegler/710</t>
  </si>
  <si>
    <t>Nybolig Mariann Trolledahl Solrød</t>
  </si>
  <si>
    <t>Solrød Center 46</t>
  </si>
  <si>
    <t>Solrød Strand</t>
  </si>
  <si>
    <t>5614 6122</t>
  </si>
  <si>
    <t>2681@nybolig.dk</t>
  </si>
  <si>
    <t>https://www.boliga.dk/maegler/860</t>
  </si>
  <si>
    <t>DB roskilde Københavnsvej, DB Roskilde C, DB Svogerslev-lejre</t>
  </si>
  <si>
    <t>Roskilde</t>
  </si>
  <si>
    <t>DB PER JOHANSEN BOLIGCENTER TUNE</t>
  </si>
  <si>
    <t>Per.Johansen@danbolig.dk</t>
  </si>
  <si>
    <t>Tune</t>
  </si>
  <si>
    <t>4616 3230</t>
  </si>
  <si>
    <t>tune@danbolig.dk</t>
  </si>
  <si>
    <t>https://www.boliga.dk/maegler/519</t>
  </si>
  <si>
    <t>DB Holte</t>
  </si>
  <si>
    <t>Peter Schmidt@danbolig.dk</t>
  </si>
  <si>
    <t>Øverødvej 11</t>
  </si>
  <si>
    <t>Holte</t>
  </si>
  <si>
    <t>Holte@DanBolig.dk</t>
  </si>
  <si>
    <t>https://www.boliga.dk/maegler/451</t>
  </si>
  <si>
    <t>DB I ODENSE - TARUP</t>
  </si>
  <si>
    <t>Rugårdsvej 191</t>
  </si>
  <si>
    <t>Odense NV</t>
  </si>
  <si>
    <t>66194884 - 5</t>
  </si>
  <si>
    <t>tarup@danbolig.dk</t>
  </si>
  <si>
    <t>https://www.boliga.dk/maegler/19522</t>
  </si>
  <si>
    <t>DB ODENSE - DALUM</t>
  </si>
  <si>
    <t>Simon.soerensen@danbolig.dk</t>
  </si>
  <si>
    <t>Dalumvej 2</t>
  </si>
  <si>
    <t>Odense SV</t>
  </si>
  <si>
    <t>66194884 - 2</t>
  </si>
  <si>
    <t>dalum@danbolig.dk</t>
  </si>
  <si>
    <t>https://www.boliga.dk/maegler/17878</t>
  </si>
  <si>
    <t>soeren.lauritsen@danbolig.dk</t>
  </si>
  <si>
    <t>Stensbjergvej 7</t>
  </si>
  <si>
    <t>Køge</t>
  </si>
  <si>
    <t>Koege@danbolig.dk</t>
  </si>
  <si>
    <t>https://www.boliga.dk/maegler/110</t>
  </si>
  <si>
    <t>Adelgade 18</t>
  </si>
  <si>
    <t>Præstø</t>
  </si>
  <si>
    <t>praestoe@danbolig.dk</t>
  </si>
  <si>
    <t>https://www.boliga.dk/maegler/25202</t>
  </si>
  <si>
    <t>Torvegade 14 A</t>
  </si>
  <si>
    <t>Faxe</t>
  </si>
  <si>
    <t>5671 5300</t>
  </si>
  <si>
    <t>faxe@danbolig.dk</t>
  </si>
  <si>
    <t>https://www.boliga.dk/maegler/231</t>
  </si>
  <si>
    <t>Kastanievej 1</t>
  </si>
  <si>
    <t>Viby Sj.</t>
  </si>
  <si>
    <t>46 19 39 00</t>
  </si>
  <si>
    <t>viby-sj@danbolig.dk</t>
  </si>
  <si>
    <t>https://www.boliga.dk/maegler/98</t>
  </si>
  <si>
    <t>Hovedgaden 17</t>
  </si>
  <si>
    <t>Borup</t>
  </si>
  <si>
    <t>57 52 11 60</t>
  </si>
  <si>
    <t>borup@danbolig.dk</t>
  </si>
  <si>
    <t>https://www.boliga.dk/maegler/932</t>
  </si>
  <si>
    <t>Nytorv 4</t>
  </si>
  <si>
    <t>St. Heddinge</t>
  </si>
  <si>
    <t>56 51 02 00</t>
  </si>
  <si>
    <t>stevns@danbolig.dk</t>
  </si>
  <si>
    <t>https://www.boliga.dk/maegler/196</t>
  </si>
  <si>
    <t>Jernbanegade 20</t>
  </si>
  <si>
    <t>Haslev</t>
  </si>
  <si>
    <t>5631 4844</t>
  </si>
  <si>
    <t>haslev@danbolig.dk</t>
  </si>
  <si>
    <t>https://www.boliga.dk/maegler/20749</t>
  </si>
  <si>
    <t>DB Faaborg</t>
  </si>
  <si>
    <t>Soeren.lykkegaard@danbolig.dk</t>
  </si>
  <si>
    <t>Lagonis Minde 9</t>
  </si>
  <si>
    <t>Faaborg</t>
  </si>
  <si>
    <t>faaborg@danbolig.dk</t>
  </si>
  <si>
    <t>https://www.boliga.dk/maegler/25250</t>
  </si>
  <si>
    <t>DB Ringe</t>
  </si>
  <si>
    <t>Stationsvej 15</t>
  </si>
  <si>
    <t>Ringe</t>
  </si>
  <si>
    <t>7023 1717</t>
  </si>
  <si>
    <t>ringe@danbolig.dk</t>
  </si>
  <si>
    <t>https://www.boliga.dk/maegler/17504</t>
  </si>
  <si>
    <t>DB Frederiksværk</t>
  </si>
  <si>
    <t>https://www.boliga.dk/maegler/17851</t>
  </si>
  <si>
    <t>DB HELSINGE-TISVILDE</t>
  </si>
  <si>
    <t>stine.gerner@danbolig.dk</t>
  </si>
  <si>
    <t>Helsinge</t>
  </si>
  <si>
    <t>4871 1060</t>
  </si>
  <si>
    <t>helsinge@danbolig.dk</t>
  </si>
  <si>
    <t>https://www.boliga.dk/maegler/444</t>
  </si>
  <si>
    <t>DB Hundested</t>
  </si>
  <si>
    <t>Hundested</t>
  </si>
  <si>
    <t>hundested@danbolig.dk</t>
  </si>
  <si>
    <t>https://www.boliga.dk/maegler/21327</t>
  </si>
  <si>
    <t>Nybolig Fredensborg v/Thomas Chr. Jürgensen</t>
  </si>
  <si>
    <t>thj@nybolig.dk</t>
  </si>
  <si>
    <t>Fredensborg</t>
  </si>
  <si>
    <t>4919 3000</t>
  </si>
  <si>
    <t>3480@nybolig.dk</t>
  </si>
  <si>
    <t>https://www.boliga.dk/maegler/107</t>
  </si>
  <si>
    <t>DB Espergærde</t>
  </si>
  <si>
    <t>Strandvejen 354</t>
  </si>
  <si>
    <t>Espergærde</t>
  </si>
  <si>
    <t>4913 0100</t>
  </si>
  <si>
    <t>espergaerde@danbolig.dk</t>
  </si>
  <si>
    <t>https://www.boliga.dk/maegler/18120</t>
  </si>
  <si>
    <t>DB Hornbæk</t>
  </si>
  <si>
    <t>Nordre Strandvej 355 A</t>
  </si>
  <si>
    <t>Hornbæk</t>
  </si>
  <si>
    <t>4970 4505</t>
  </si>
  <si>
    <t>hornbaek@danbolig.dk</t>
  </si>
  <si>
    <t>https://www.boliga.dk/maegler/18145</t>
  </si>
  <si>
    <t>DB Kalundborg</t>
  </si>
  <si>
    <t>tom.parsner@danbolig.dk</t>
  </si>
  <si>
    <t>Elmegade 11 E</t>
  </si>
  <si>
    <t>Kalundborg</t>
  </si>
  <si>
    <t>5956 1600</t>
  </si>
  <si>
    <t>kalundborg@danbolig.dk</t>
  </si>
  <si>
    <t>https://www.boliga.dk/maegler/255</t>
  </si>
  <si>
    <t>Paulun Bolig Frederiksberg</t>
  </si>
  <si>
    <t>Sundbyvester Plads 2</t>
  </si>
  <si>
    <t>København S</t>
  </si>
  <si>
    <t>frederiksberg@paulun.dk</t>
  </si>
  <si>
    <t>https://www.boliga.dk/maegler/25794</t>
  </si>
  <si>
    <t>amager@paulun.dk</t>
  </si>
  <si>
    <t>https://www.boliga.dk/maegler/25791</t>
  </si>
  <si>
    <t>bryggen@paulun.dk</t>
  </si>
  <si>
    <t>https://www.boliga.dk/maegler/25801</t>
  </si>
  <si>
    <t>Paulun Tårnby/Dragør</t>
  </si>
  <si>
    <t>taarnby@paulun.dk</t>
  </si>
  <si>
    <t>https://www.boliga.dk/maegler/25792</t>
  </si>
  <si>
    <t>København K</t>
  </si>
  <si>
    <t>oesterbro@paulun.dk</t>
  </si>
  <si>
    <t>https://www.boliga.dk/maegler/25790</t>
  </si>
  <si>
    <t>city@paulun.dk</t>
  </si>
  <si>
    <t>https://www.boliga.dk/maegler/25793</t>
  </si>
  <si>
    <t>DB MØN</t>
  </si>
  <si>
    <t>trine.k.olsen@danbolig.dk</t>
  </si>
  <si>
    <t>Storegade 32</t>
  </si>
  <si>
    <t>Stege</t>
  </si>
  <si>
    <t>5581 5600</t>
  </si>
  <si>
    <t>moen@danbolig.dk</t>
  </si>
  <si>
    <t>https://www.boliga.dk/maegler/520</t>
  </si>
  <si>
    <t>DB VORDINGBORG</t>
  </si>
  <si>
    <t>Vordingborg</t>
  </si>
  <si>
    <t>5537 7080</t>
  </si>
  <si>
    <t>vordingborg@danbolig.dk</t>
  </si>
  <si>
    <t>https://www.boliga.dk/maegler/655</t>
  </si>
  <si>
    <t>DB Vangede- Dyssegård</t>
  </si>
  <si>
    <t>Tyge.hellberg@danbolig.dk</t>
  </si>
  <si>
    <t>Brogårdsvej 137</t>
  </si>
  <si>
    <t>vangede@danbolig.dk</t>
  </si>
  <si>
    <t>https://www.boliga.dk/maegler/867</t>
  </si>
  <si>
    <t>RealMæglerne HALLBERG BOLIG</t>
  </si>
  <si>
    <t>pah@mailreal.dk, lvr@mailreal.dk</t>
  </si>
  <si>
    <t>Hovedvejen 118</t>
  </si>
  <si>
    <t>Glostrup</t>
  </si>
  <si>
    <t>2600@mailreal.dk</t>
  </si>
  <si>
    <t>https://www.boliga.dk/maegler/551</t>
  </si>
  <si>
    <t>https://www.boliga.dk/maegler/27742</t>
  </si>
  <si>
    <t>DB Viby (Andersen og Partnere)</t>
  </si>
  <si>
    <t>jesper.h.andersen@danbolig.dk</t>
  </si>
  <si>
    <t>Viby Torv 4</t>
  </si>
  <si>
    <t>Viby J</t>
  </si>
  <si>
    <t>8611 0044</t>
  </si>
  <si>
    <t>viby-j@danbolig.dk</t>
  </si>
  <si>
    <t>https://www.boliga.dk/maegler/1054</t>
  </si>
  <si>
    <t>DB Hjørring</t>
  </si>
  <si>
    <t>Kristian.rask@danbolig.dk</t>
  </si>
  <si>
    <t>Østergade 12</t>
  </si>
  <si>
    <t>Hjørring</t>
  </si>
  <si>
    <t>9623 4590</t>
  </si>
  <si>
    <t>Hjoerring@danbolig.dk</t>
  </si>
  <si>
    <t>https://www.boliga.dk/maegler/76</t>
  </si>
  <si>
    <t>DB Odense- Lejlighedsbutikken</t>
  </si>
  <si>
    <t>66194884 - 3</t>
  </si>
  <si>
    <t>odensecity@danbolig.dk</t>
  </si>
  <si>
    <t>https://www.boliga.dk/maegler/17897</t>
  </si>
  <si>
    <t>NYBOLIG SLAGELSE</t>
  </si>
  <si>
    <t>Slagelse</t>
  </si>
  <si>
    <t>5853 3030</t>
  </si>
  <si>
    <t>4201@nybolig.dk</t>
  </si>
  <si>
    <t>https://www.boliga.dk/maegler/995</t>
  </si>
  <si>
    <t>Nybolig Skælskør A/S</t>
  </si>
  <si>
    <t>Algade 39</t>
  </si>
  <si>
    <t>Skælskør</t>
  </si>
  <si>
    <t>5819 1088</t>
  </si>
  <si>
    <t>4230@nybolig.dk</t>
  </si>
  <si>
    <t>https://www.boliga.dk/maegler/239</t>
  </si>
  <si>
    <t>Danbolig Haderslev</t>
  </si>
  <si>
    <t>susanne.linnet@danbolig.dk</t>
  </si>
  <si>
    <t>Nørregade 44</t>
  </si>
  <si>
    <t>Haderslev</t>
  </si>
  <si>
    <t>7452 0042</t>
  </si>
  <si>
    <t>haderslev@danbolig.dk</t>
  </si>
  <si>
    <t>https://www.boliga.dk/maegler/49</t>
  </si>
  <si>
    <t>Db Hillerød</t>
  </si>
  <si>
    <t>Hillerød</t>
  </si>
  <si>
    <t>hilleroed@danbolig.dk</t>
  </si>
  <si>
    <t>https://www.boliga.dk/maegler/26405</t>
  </si>
  <si>
    <t>København N</t>
  </si>
  <si>
    <t>Noerrebro@DanBolig.dk</t>
  </si>
  <si>
    <t>https://www.boliga.dk/maegler/825</t>
  </si>
  <si>
    <t>Frederiksborgvej 39</t>
  </si>
  <si>
    <t>København NV</t>
  </si>
  <si>
    <t>nordvest@danbolig.dk</t>
  </si>
  <si>
    <t>https://www.boliga.dk/maegler/135</t>
  </si>
  <si>
    <t>danbolig Rønne</t>
  </si>
  <si>
    <t>roenne@danbolig.dk</t>
  </si>
  <si>
    <t>Rønne</t>
  </si>
  <si>
    <t>5695 1995</t>
  </si>
  <si>
    <t>https://www.boliga.dk/maegler/18118</t>
  </si>
  <si>
    <t>danbolig Nexø</t>
  </si>
  <si>
    <t>5649 1295</t>
  </si>
  <si>
    <t>nexoe@danbolig.dk</t>
  </si>
  <si>
    <t>https://www.boliga.dk/maegler/74</t>
  </si>
  <si>
    <t>FISCHER, BOLIGCENTER VESTERBRO ApS</t>
  </si>
  <si>
    <t>FISCHER, BOLIGCENTER VALBY ApS</t>
  </si>
  <si>
    <t>Frederiksberg</t>
  </si>
  <si>
    <t>frederiksberg@danbolig.dk</t>
  </si>
  <si>
    <t>https://www.boliga.dk/maegler/26235</t>
  </si>
  <si>
    <t>Frederiksberg C</t>
  </si>
  <si>
    <t>frederiksbergc@danbolig.dk</t>
  </si>
  <si>
    <t>https://www.boliga.dk/maegler/29021</t>
  </si>
  <si>
    <t>Estate Amager</t>
  </si>
  <si>
    <t>2300@estate.dk</t>
  </si>
  <si>
    <t>https://www.boliga.dk/maegler/25169</t>
  </si>
  <si>
    <t>Kongelundsvej 268</t>
  </si>
  <si>
    <t>Kastrup</t>
  </si>
  <si>
    <t>https://www.boliga.dk/maegler/25157</t>
  </si>
  <si>
    <t>København Ø</t>
  </si>
  <si>
    <t>35 42 55 55</t>
  </si>
  <si>
    <t>126@home.dk</t>
  </si>
  <si>
    <t>https://www.boliga.dk/maegler/173</t>
  </si>
  <si>
    <t>NjordBolig</t>
  </si>
  <si>
    <t>rasmus.frank@njordbolig.dk</t>
  </si>
  <si>
    <t>Mønten 2</t>
  </si>
  <si>
    <t>Frederikssund</t>
  </si>
  <si>
    <t>4738 7708</t>
  </si>
  <si>
    <t>frederikssund@danbolig.dk</t>
  </si>
  <si>
    <t>https://www.boliga.dk/maegler/976</t>
  </si>
  <si>
    <t>Område</t>
  </si>
  <si>
    <t>Butiksnavn</t>
  </si>
  <si>
    <t>Faktureringsstart</t>
  </si>
  <si>
    <t>Link til Mæglerguiden</t>
  </si>
  <si>
    <t>Butiksmail og andre mails</t>
  </si>
  <si>
    <t>Faktureringsinfo</t>
  </si>
  <si>
    <t>Mægler navn</t>
  </si>
  <si>
    <t>Fyn</t>
  </si>
  <si>
    <t>10.05.2019</t>
  </si>
  <si>
    <t>DB I ODENSE - HJALLESE ApS, CVR nr. 33362269, Odensevej 95 , Hjallese, 5260 Odense S</t>
  </si>
  <si>
    <t>Indehaver, Ejendomsmægler Adam Arildsen</t>
  </si>
  <si>
    <t>Sjælland</t>
  </si>
  <si>
    <t>Larsen &amp; Larnæs ApS, CVR nr. 28479662, Usserød Kongevej 92 , Postboks 340, 2970 Hørsholm</t>
  </si>
  <si>
    <t>Indehaver, Ejendomsmægler Anders O Larsen</t>
  </si>
  <si>
    <t>Sven Øvre Aps, CVR. nr. 10161029, Storegade 17, 4550 Asnæs</t>
  </si>
  <si>
    <t>Indehaver, ejendomsmægler Sven Øvre</t>
  </si>
  <si>
    <t>Jylland</t>
  </si>
  <si>
    <t>DB Bent Kohls</t>
  </si>
  <si>
    <t>10.05.2019- stoppet omkring 1 maj 2022</t>
  </si>
  <si>
    <t>https://www.boliga.dk/maegler/18114 samt https://www.boliga.dk/maegler/17634</t>
  </si>
  <si>
    <t>Yvonne Kohls - danbolig Viborg &lt;yvonne.kohls@danbolig.dk&gt; bent skal IKKE have mails bent.kohls@danbolig.dk</t>
  </si>
  <si>
    <t>Bent Kohls I/S, CVR nr. 34028419, Nytorv 2, 8800 Viborg samt danbolig Bent Kohls I/S, P-nummer 1019425580, Helgolandsgade 20, 7500 Holstebro</t>
  </si>
  <si>
    <t>Indehaver, Ejendomsmægler Bent Kohls</t>
  </si>
  <si>
    <t>Carsten.engelborg@danbolig.dk, 
 Lyngby bedes sendt til Martin - martin.lyngby@danbolig.dk
 Virum bedes sendt til Brian Johansen - brian.johansen@danbolig.dk</t>
  </si>
  <si>
    <t>BOLIGCENTER LYNGBY ApS, CVR nr. 31176131, Lyngby Torv 2 A, 2800 Kongens Lyngby</t>
  </si>
  <si>
    <t>Indehaver, Ejendomsmægler Carsten Engelborg</t>
  </si>
  <si>
    <t>BOLIGCENTER VIRUM ApS, CVR nr. 31176123, Frederiksdalsvej 70, 2830 Virum</t>
  </si>
  <si>
    <t>Danbolig Helsingør v/Kim Nielsen &amp; Casper Nielsen, CVR. nr. 26834627, Kongensgade 2a, 3000 Helsingør</t>
  </si>
  <si>
    <t>Indehaver, ejendomsmægler Casper Nielsen</t>
  </si>
  <si>
    <t>ALSTRUP &amp; INGEMANN ApS, CVR nr. 31851637, Jernbane Allé 54, 2720 Vanløse</t>
  </si>
  <si>
    <t>Indehaver, Ejendomsmægler Catrine Ingemann</t>
  </si>
  <si>
    <t>13.05.2019-stoppet omkring maj 2022</t>
  </si>
  <si>
    <t>DB Randers I ApS, CVR-nr.34731829, Søndergade 3 - 5, 8900 Randers C</t>
  </si>
  <si>
    <t>Indehaver, ejendomsmægler Martin Jacobsen</t>
  </si>
  <si>
    <t>DREYER ApS, CVR nr. 31176670,Centrumpladsen 6, 5700 Svendborg</t>
  </si>
  <si>
    <t>Indehaver, Ejendomsmægler Claus Dreyer</t>
  </si>
  <si>
    <t>DB HØJBY - ELLINGE LYNG ApS, CVR nr. 31473837, Lyngvej 77, 4573 Højby</t>
  </si>
  <si>
    <t>Indehaver, Ejendomsmægler Dennis Høilund</t>
  </si>
  <si>
    <t>Sjælland-Nykøbing sj</t>
  </si>
  <si>
    <t>DB NYKØBING SJ. ApS, CVR nr. 34598967, Vesterbro 1, 4500 Nykøbing Sj</t>
  </si>
  <si>
    <t>BOLIGCENTER GENTOFTE ApS, CVR nr. 31176050, Gentoftegade 49, 2820 Gentofte</t>
  </si>
  <si>
    <t>Indehaver, Ejendomsmægler Frederik Fausing</t>
  </si>
  <si>
    <t>HENRIK DREYER &amp; BRIAN DREYER LARSEN A/S, CVR nr. 20944706, Centrumgaden 14, 2750 Ballerup</t>
  </si>
  <si>
    <t>Indehaver, Ejendomsmægler Henrik Dreyer</t>
  </si>
  <si>
    <t>henrik.larsen@danbolig.dk, susan.mortensen@danbolig.dk, kim.vesterdal@danbolig.dk(sidsnævnte blot info mails)</t>
  </si>
  <si>
    <t>HOLBÆK - HENRIK LARSEN A/S, CVR nr. 29840644 , Ahlgade 24, 4300 Holbæk</t>
  </si>
  <si>
    <t>Indehaver, Ejendomsmægler Henrik Larsen</t>
  </si>
  <si>
    <t>DB SKIBHUS ApS, CVR nr. 26121124, Skibhusvej 76, 5000 Odense C</t>
  </si>
  <si>
    <t>Indehaver, Ejendomsmægler Henrik Vedel Egetoft Pilegaard</t>
  </si>
  <si>
    <t>db Allerød P/S, CVR nr. 38380303, Allerød Stationsvej 2e, 3450 Allerød</t>
  </si>
  <si>
    <t>Indehaver, ejendomsmægler Jan Persson</t>
  </si>
  <si>
    <t>Sjælland-Langeland</t>
  </si>
  <si>
    <t>Johnny.didriksen@danbolig.dk, gitte.hansen@danbolig.dk</t>
  </si>
  <si>
    <t>DB LANGELAND ApS, CVR nr. 33257619, Ørstedsgade 6 A, 5900 Rudkøbing</t>
  </si>
  <si>
    <t>Indehaver, Ejendomsmægler Johnny Didriksen</t>
  </si>
  <si>
    <t>LokalBolig Charlottenlund/Klampenborg ApS, CVR nr. 37108537, Jensløvsvej 1, st., 2920 Charlottenlund</t>
  </si>
  <si>
    <t>Indehaver, Ejendomsmægler Jan Vingaard</t>
  </si>
  <si>
    <t>LOKALBOLIG GENTOFTE APS, CVR. nr.38908448, Gentoftegade 34, 2820 Gentofte</t>
  </si>
  <si>
    <t>LOKALBOLIG HELLERUP ApS, CVR nr. 31363551, Strandvejen 130C, 2900 Hellerup</t>
  </si>
  <si>
    <t>kenneth.gregers@danbolig.dk;jimmy.jensen@danbolig.dk; amir.j@danbolig.dk</t>
  </si>
  <si>
    <t>DB HVIDOVRE ApS, CVR nr. 21759341, Hvidovrevej 59 B, 2650 Hvidovre</t>
  </si>
  <si>
    <t>Indehaver, Ejendomsmægler Kenneth Grgers</t>
  </si>
  <si>
    <t>DB STENLØSE ApS, CVR nr. 31887380, Egedal Centret 25, 3660 Stenløse</t>
  </si>
  <si>
    <t>Indehaver, Ejendomsmægler Kenneth Gregers</t>
  </si>
  <si>
    <t>Kenneth.thiemke@danbolig.dk og freja.hansen@danbolig.dk</t>
  </si>
  <si>
    <t>DB Ringsted A/S, CVR nr. 31328276, Nørregade 46, 4100 Ringsted</t>
  </si>
  <si>
    <t>Indehaver, Ejendomsmægler Kenneth Thiemke</t>
  </si>
  <si>
    <t>paulo.maciel@danbolig.dk</t>
  </si>
  <si>
    <t>DB RØDOVRE A/S, CVR nr.30541340, Rødovrevej 265, 2610 Rødovre</t>
  </si>
  <si>
    <t>DB Sorø A/S, CVR nr. 31328241, Storgade 3, 4180 Sorø</t>
  </si>
  <si>
    <t>https://www.boliga.dk/maegler/1031, https://www.boliga.dk/maegler/29030</t>
  </si>
  <si>
    <t>DB TAASTRUP / HEDEHUSENE A/S, CVR nr. 30541413, Tåstrup Hovedgade 10, 2630 Tåstrup</t>
  </si>
  <si>
    <t>klaus.joergensen@danbolig.dk og klaus.b.jensen@danbolig.dk</t>
  </si>
  <si>
    <t>BUNDGAARD OG JØRGENSEN ApS, CVR nr.33359152, Herlev Torv 5 E, 2730 Herlev</t>
  </si>
  <si>
    <t>Indehaver, Ejendomsmægler Klaus Jørgensen</t>
  </si>
  <si>
    <t>Bundgaard og Jørgensen I/S, CVR nr. 30384873, Bymidten 112, 3500 Værløse</t>
  </si>
  <si>
    <t>Kristian Eriksen og partnere ApS, CVR nr. 26159830, Danbolig Græsted/Gilleleje P.nr. 1009698864, Gillelejehovedgade 1a, 3250 Gilleleje</t>
  </si>
  <si>
    <t>Indehaver, ejendomsmægler Kristian Eriksen</t>
  </si>
  <si>
    <t>DB Birkerød P/S ,CVR nr. 35231633, Hovedgaden 39, 3460, Birkerød</t>
  </si>
  <si>
    <t>Indehaver, Ejendomsmægler Lars Holm</t>
  </si>
  <si>
    <t>HOLM &amp; HAUBERG, BOLIGCENTER BAGSVÆRD ApS, CVR. nr. 26671264, Bagsværd Hovedgade 93, 2880 Bagsværd</t>
  </si>
  <si>
    <t>Indehaver, Ejendomsmægler Morten Hauberg</t>
  </si>
  <si>
    <t>HOLM &amp; HAUBERG, BOLIGCENTER BRØNSHØJ ApS, CVR nr.26671191, Frederikssundsvej 208, 2700</t>
  </si>
  <si>
    <t>HOLM &amp; HAUBERG, BOLIGCENTER SØBORG ApS, CVR nr. 26671302, Søborg Hovedgade 92, 2860 Søborg</t>
  </si>
  <si>
    <t>10.05.2019-28.02.2021</t>
  </si>
  <si>
    <t>HOLM &amp; HAUBERG, BOLIGCENTER VALBY ApS,CVR nr. 26671221, Valby Langgade 114, 2500 Valby</t>
  </si>
  <si>
    <t>10.05.2019 -28.02.2021</t>
  </si>
  <si>
    <t>HOLM OG HAUBERG BOLIGCENTER VESTERBRO ApS, CVR nr. 34485526, Istedgade 132, 1650 København V</t>
  </si>
  <si>
    <t>https://www.boliga.dk/maegler/805 
 https://www.boliga.dk/maegler/860 
 https://www.boliga.dk/maegler/710</t>
  </si>
  <si>
    <t>Nybolig v/Mariann Trolledahl, CVR nr. 11746780, Solrød Center 46, 2680 Solrød Strand, samt Nybolig v/Mariann Trolledahl, P-nr. 1004353835, Hundige Strandvej 213, 2670 Greve</t>
  </si>
  <si>
    <t>Indehaver, Ejendomsmægler Mariann Trolledahl</t>
  </si>
  <si>
    <t>https://www.boliga.dk/maegler/870</t>
  </si>
  <si>
    <t>Nicolai.karhof@danbolig.dk, Hanne Elkjær Karhof - danbolig Erhverv Roskilde &lt;hanne.karhof@danbolig.dk&gt; Lister til Randi Steen Christensen - danbolig Roskilde C &lt;Randi.Christensen@danbolig.dk&gt; (fra 1. april 2021)</t>
  </si>
  <si>
    <t>db roskilde Københavnsvej ApS, CVR. nr. 27554946, Københavnsvej 28, 4000 Roskilde</t>
  </si>
  <si>
    <t>Indehaver, Ejendomsmægler Nicolai Karhof</t>
  </si>
  <si>
    <t>PER JOHANSEN BOLIGCENTER TUNE ApS, CVR. Nr. 32273254, Tune Center 12 b.,4030 Tune</t>
  </si>
  <si>
    <t>Indehaver, ejendomsmægler Per Johansen</t>
  </si>
  <si>
    <t>EJENDOMSMÆGLERFIRMAET PETER SCHMIDT ApS, CVR nr. Øverødvej 11, 2840 Holte</t>
  </si>
  <si>
    <t>Indehaver, Ejendomsmægler Peter Schmidt</t>
  </si>
  <si>
    <t>DB Frederikssund</t>
  </si>
  <si>
    <t>10.05.2019-21.04.2022</t>
  </si>
  <si>
    <t>Rasmus.frank@danbolig.dk</t>
  </si>
  <si>
    <t>DB Frederikssund ApS, CVR nr.6963816, Mønten 2, 3600 Frederikssund</t>
  </si>
  <si>
    <t>Indehaver, Ejendomsmægler Rasmus Frank</t>
  </si>
  <si>
    <t>tore.wiben@danbolig.dk, (Lister og faktura KUN til Jonas.hostrup@danbolig.dk )-vigtigt</t>
  </si>
  <si>
    <t>DB I ODENSE - TARUP - ApS, CVR nr. 36469595, Rugårdsvej 191 ,Tarup, 5210 Odense NV</t>
  </si>
  <si>
    <t>Indehaver, Ejendomsmægler Sebastian Rasmussen</t>
  </si>
  <si>
    <t>DB ODENSE DALUM ApS, CVR nr. 34220689, Dalumvej 2 , Dalum, 5250 Odense SV</t>
  </si>
  <si>
    <t>Indehaver, Ejendomsmægler Simon Sørensen</t>
  </si>
  <si>
    <t>DB Køge
 DB Præstø
 DB Faxe
 DB Viby
 DB Borup
 DB Stevns
 DB Haslev</t>
  </si>
  <si>
    <t>https://www.boliga.dk/maegler/110
 https://www.boliga.dk/maegler/25202
 https://www.boliga.dk/maegler/231
 https://www.boliga.dk/maegler/98
 https://www.boliga.dk/maegler/932
 https://www.boliga.dk/maegler/196
 https://www.boliga.dk/maegler/20749</t>
  </si>
  <si>
    <t>DB v/Søren Jagd Lauritsen, CVR-nr. 33295685, Strandvejen 1, 4600 Køge. Kontrakten er desuden gældende for følgende virksomheder ejet af Søren Jagd Lauritsen; 
 DB v/Søren Jagd Lauritsen (Præstø), P-nummer 1024255677, DB v/ Søren Jagd Lauritsen (Faxe), P-nummer 1016601841, DB v/Søren Jagd Lauritsen (Viby), P-nummer 1024255383, DB v/Søren Jagd Lauritsen (Borup), P-nummer 1020621466, DB v/ Søren Jagd Lauritsen (Stevns) P-nummer 1016601833, DB v/Søren Jagd Lauritsen (Haslev)P-nummer 1024255669</t>
  </si>
  <si>
    <t>Indehaver, Ejendomsmægler Søren Jagd Lauritsen</t>
  </si>
  <si>
    <t>Soeren.lykkegaard@danbolig.dk, kasper.lynge@danbolig.dk(Kasper KUN nyhedsbreve)</t>
  </si>
  <si>
    <t>Faaborg Bolighandel ApS, CVR nr. 39680270, yhavevej 114 Davinde, 5220 Odense SØ</t>
  </si>
  <si>
    <t>Indehaver, Ejendomsmægler Søren Lykkegaard</t>
  </si>
  <si>
    <t>Danbolig Søren Lykkegaard, CVR nr. 32982832, Stationsvej 15, 5750 Ringe</t>
  </si>
  <si>
    <t>Matilde Ørsted matilde.oersted@danbolig.dk, faktura skal KUN sendes til: 34217661@edilion.net</t>
  </si>
  <si>
    <t>GERNER,FABOS OG HOLM ApS, CVR nr. 34217661, Torvet 15 3300 Frederiksværk
 NYT NYT pr. 1.maj 2021:
 Lykke &amp; Ørsted Frederiksværk ApS
 Torvet 15
 3300 Frederiksværk
 CVR
 34217661
 Fremadrettet må I gerne sende faktura til frederiksvaerk@danbolig.dk</t>
  </si>
  <si>
    <t>Indehaver, Ejendomsmægler Stine Gerner</t>
  </si>
  <si>
    <t>GERNER FROST HELSINGE-TISVILDE ApS, CVR nr. 26479169, Vestergade 11 3200 Helsinge</t>
  </si>
  <si>
    <t>Matilde Ørsted matilde.oersted@danbolig.dk, faktura skal KUN sendes til: 38024434@edilion.net</t>
  </si>
  <si>
    <t>Gerner, Fabos og Holm - Hundested ApS,CVR nr.38024434, Kajgaden 9 H 3390 Hundested
 NYT NYT pr. 1.maj 2021:
 Lykke &amp; Ørsted Hundested ApS
 Torvet 15
 3300 Frederiksværk
 CVR
 38024434
 Fremadrettet må I gerne sende faktura til frederiksvaerk@danbolig.dk</t>
  </si>
  <si>
    <t>Nybolig Fredensborg v/Thomas Chr. Jürgensen, CVR. Nr. 27358632, P-nr. 1022183806, Wendorfsvej 6, st. mf. 3480 Fredensborg</t>
  </si>
  <si>
    <t>Indehaver, ejendomsmægler Thomas Chr. Jürgensen</t>
  </si>
  <si>
    <t>thomas.bloch@danbolig.dk (skal KUN modtage fakturea IKKE lister de skal kun til Camilla);
 danbolig Espergærde: jonas.christensen@danbolig.dk
  danbolig Hornbæk: Camilla.Billesoe@danbolig.dk</t>
  </si>
  <si>
    <t>Ejendomsmæglerfirmaet Bloch &amp; Partnere Espergærde ApS, CVR nr. 21354309, Strandvejen 354, 3060 Espergærde</t>
  </si>
  <si>
    <t>Indehaver, Ejendomsmægler Thomas Bloch</t>
  </si>
  <si>
    <t>Ejendomsmæglerfirmaet Bloch &amp; Partnere, CVR nr. 20155981, Hornbæk ApS, Nordre Strandvej 355 A, 3100 Hornbæk</t>
  </si>
  <si>
    <t>DB KALUNDBORG ApS, CVR nr. 26631785, Elmegade 11 E, 4400 Kalundborg</t>
  </si>
  <si>
    <t>Indehaver, Ejendomsmægler Tom Parsner</t>
  </si>
  <si>
    <t>10.05.2019-30.04.2021</t>
  </si>
  <si>
    <t>Lister til: paulun@ditregnskab.com
 Faktura til: paulunfrederiksberg@invoiceportal.dk</t>
  </si>
  <si>
    <t>EJENDOMSMÆGLER NIELS HALD FREDERIKSBERG A/S, CVR nr. 28884885, Sundbyvester Plads 2, 2300 København S</t>
  </si>
  <si>
    <t>Indehaver, Ejendomsmægler Torben Hald</t>
  </si>
  <si>
    <t>Paulun Bolig Amager
 Paulun Islands Brygge
 Paulun Tårnby/Dragør</t>
  </si>
  <si>
    <t>https://www.boliga.dk/maegler/25791, https://www.boliga.dk/maegler/25801, https://www.boliga.dk/maegler/25792</t>
  </si>
  <si>
    <t>Lister til: paulun@ditregnskab.com
 Faktura til: paulunamager@invoiceportal.dk</t>
  </si>
  <si>
    <t>EJENDOMSMÆGLER NIELS HALD AMAGER A/S, CVR nr.28884850, Sundbyvester Plads 2, 2300 København S</t>
  </si>
  <si>
    <t>Paulun Bolig Østerbro (afsluttet pr. 1. maj)
 Paulun City(fortsætter pr. 1. maj</t>
  </si>
  <si>
    <t>https://www.boliga.dk/maegler/25790, https://www.boliga.dk/maegler/25793</t>
  </si>
  <si>
    <t>Lister til: paulun@ditregnskab.com
 Faktura til: paulunoesterbro@invoiceportal.dk</t>
  </si>
  <si>
    <t>Paulun City A/S
 CVR nr. 34080992
 Store Kongensgade 53
 1264 København K</t>
  </si>
  <si>
    <t>Sjælland-Møn</t>
  </si>
  <si>
    <t>DB MØN ApS, CVR. nr. 31886562, Storegade 32, 4780 Stege</t>
  </si>
  <si>
    <t>Indehaver, Ejendomsmægler Trine Kildemark Olsen</t>
  </si>
  <si>
    <t>DB VORDINGBORG aps, CVR nr. 31886864 , Prins Jørgens Alle 6 B, 4760 Vordingborg</t>
  </si>
  <si>
    <t>BOLIGCENTER VANGEDE ApS, CVR nr. 31176107, Brogårdsvej 137, 2820 Gentofte</t>
  </si>
  <si>
    <t>Indehaver, Ejendomsmægler Tyge Hellberg</t>
  </si>
  <si>
    <t>01.07.2019</t>
  </si>
  <si>
    <t>RealMæglerne HALLBERG BOLIG, CVR nr. 29696411, Hovedvejen 118, 2600 Glostrup</t>
  </si>
  <si>
    <t>Indehaver, Ejendomsmægler Paul Hallberg</t>
  </si>
  <si>
    <t>https://boliga.dk/maegler/1054</t>
  </si>
  <si>
    <t>db Andersen &amp; Partnere ApS, CVR 27550169, Viby Torv 4, 8260 Viby J</t>
  </si>
  <si>
    <t>Indehaver, Ejendomsmægler Jesper Hougaard Andersen</t>
  </si>
  <si>
    <t>https://boliga.dk/maegler/76</t>
  </si>
  <si>
    <t>DB HJØRRING ApS, CVR nr.32786022, Østergade 12. 9800 Hjørring</t>
  </si>
  <si>
    <t>Indehaver, Ejendomsmægler Kristian Rask</t>
  </si>
  <si>
    <t>04.07.2019</t>
  </si>
  <si>
    <t>https://boliga.dk/maegler/17897</t>
  </si>
  <si>
    <t>kristina.kroell@danbolig.dk (i stedet for Anne sofie der er på barsel (okt. 2021) med cc. martin.nielsen@danbolig.dk</t>
  </si>
  <si>
    <t>DB ODENSE CITY ApS, CVR nr. 34220670, Jernbanegade 28, st. 5000 Odense C</t>
  </si>
  <si>
    <t>Indehaver, Ejendomsmægler Tore Wiben</t>
  </si>
  <si>
    <t>01.08.2019</t>
  </si>
  <si>
    <t>https://www.boliga.dk/maegler/995
 https://www.boliga.dk/maegler/239</t>
  </si>
  <si>
    <t>pva@nybolig.dk, 4203@nybolig.dk vigtigt den sidstnævnte bruges, da det er direkte til bogholderiet.</t>
  </si>
  <si>
    <t>NYBOLIG SLAGELSE A/S, CVR nr. 32347851,Rosengade 11 A, 4200 Slagelse samt Nybolig Skælskør A/S, P-number 1021106050, Algade 39,4230 Skælskør</t>
  </si>
  <si>
    <t>Indehaver, Ejendomsmægler Peter Valentin</t>
  </si>
  <si>
    <t>Christian</t>
  </si>
  <si>
    <t>Nybolig Kolding</t>
  </si>
  <si>
    <t>30.08.2019- køre forlængelse(efter aftale med Krahn) kører til og med 30. april 2022 skal forlænges herefter</t>
  </si>
  <si>
    <t>https://www.boliga.dk/maegler/137</t>
  </si>
  <si>
    <t>glg@nybolig.dk</t>
  </si>
  <si>
    <t>NYBOLIG KOLDING A/S, CVR nr. 29804044, Vestre Ringgade 2 A, 6000 Kolding</t>
  </si>
  <si>
    <t>Glenn Gadegaard Ejendomsmægler, MDE, Indehaver</t>
  </si>
  <si>
    <t>Nybolig Vejle</t>
  </si>
  <si>
    <t>06.09.2019</t>
  </si>
  <si>
    <t>https://www.boliga.dk/maegler/673</t>
  </si>
  <si>
    <t>fbb@nybolig.dk</t>
  </si>
  <si>
    <t>Nybolig Vejle I/S, CVR nr. 38253808, Damhaven 5 B, 7100 Vejle</t>
  </si>
  <si>
    <t>Frank Bruun, Ejendomsmægler, MDE, Indehaver</t>
  </si>
  <si>
    <t>Nybolig Skive</t>
  </si>
  <si>
    <t>16.09.2019.</t>
  </si>
  <si>
    <t>https://www.boliga.dk/maegler/572</t>
  </si>
  <si>
    <t>tkc@nybolig.dk</t>
  </si>
  <si>
    <t>Nybolig Skive I/S, CVR-nr.32599400, Albert Diges Vej 3, 7800 Skive</t>
  </si>
  <si>
    <t>Torben Kuipers Christensen, Ejendomsmægler</t>
  </si>
  <si>
    <t>Nybolig Sæby</t>
  </si>
  <si>
    <t>24.09.2019</t>
  </si>
  <si>
    <t>https://www.boliga.dk/maegler/815</t>
  </si>
  <si>
    <t>njh@nybolig.dk</t>
  </si>
  <si>
    <t>Nybolig Kattegat I/S, CVR nr. 37603880, Nielsens Plads 3, 9300 Sæby</t>
  </si>
  <si>
    <t>Jens Houbak-Jensen, Ejendomsmægler</t>
  </si>
  <si>
    <t>Nybolig Nyborg</t>
  </si>
  <si>
    <t>03.10.2019</t>
  </si>
  <si>
    <t>https://www.boliga.dk/maegler/884</t>
  </si>
  <si>
    <t>ars@nybolig.dk</t>
  </si>
  <si>
    <t>Nybolig Nyborg v/ Lars Bach, CVR nr. 26234328, Adelgade 8, 5800 Nyborg, fra 1. juni 2022 nyt selskab-Nybolig Nyborg A/S - cvr.nr. 43342118.</t>
  </si>
  <si>
    <t>Lars Bach, Ejendomsmægler</t>
  </si>
  <si>
    <t>Home Skagen</t>
  </si>
  <si>
    <t>10.10.2019</t>
  </si>
  <si>
    <t>https://www.boliga.dk/maegler/650</t>
  </si>
  <si>
    <t>kanel@home.dk</t>
  </si>
  <si>
    <t>Home Skagen I/S, CVR nr.: 32590152, Sct. Laurentiivej 66 A, 9990 Skagen,</t>
  </si>
  <si>
    <t>Kasper Lykke Nielsen, Ejendomsmægler</t>
  </si>
  <si>
    <t>Nybolig Morsø</t>
  </si>
  <si>
    <t>21.10.2019</t>
  </si>
  <si>
    <t>https://www.boliga.dk/maegler/150</t>
  </si>
  <si>
    <t>ogl@nybolig.dk</t>
  </si>
  <si>
    <t>Nybolig Morsø I/S Cvr. 32572928, Vestergade 10, 7900 Nykøbing M</t>
  </si>
  <si>
    <t>Ole Gørtler Laustsen, Ejendomsmægler</t>
  </si>
  <si>
    <t>Nybolig Blåvand</t>
  </si>
  <si>
    <t>01.11.2019</t>
  </si>
  <si>
    <t>https://www.boliga.dk/maegler/142</t>
  </si>
  <si>
    <t>sly@nybolig.dk</t>
  </si>
  <si>
    <t>Nybolig Blåvand 35576797, Tane Hedevej 4, 6857 Blåvand</t>
  </si>
  <si>
    <t>Stine Lyngbo Ries, Indehaver</t>
  </si>
  <si>
    <t>Nybolig Børkop og Brejning</t>
  </si>
  <si>
    <t>https://www.boliga.dk/maegler/18703</t>
  </si>
  <si>
    <t>ckt@nybolig.dk</t>
  </si>
  <si>
    <t>Nybolig Børkop &amp; Brejning I/S, 35942130, Børkop Centret, Ny Boder 23B, 7080 Børkop</t>
  </si>
  <si>
    <t>Charlotte Krintel, Indehaver, Ejendomsmægler MDE</t>
  </si>
  <si>
    <t>DB HADERSLEV ApS, 31051215, Nørregade 44, 6100 Haderslev</t>
  </si>
  <si>
    <t>Susanne P. Linnet, Indehaver - Ejendomsmægler, MDE</t>
  </si>
  <si>
    <t>Nybolig Thisted</t>
  </si>
  <si>
    <t>05.11.2019- køre forlængelse(efter aftale med Krahn)skal stoppe 1.september-2022</t>
  </si>
  <si>
    <t>https://www.boliga.dk/maegler/9</t>
  </si>
  <si>
    <t>ekj@nybolig.dk, 7700@nybolig.dk,ch@nybolig.dk ( sidstnævnte skal have lister og også faktura)</t>
  </si>
  <si>
    <t>Nybolig Thisted v/Ejnar K. Jeppesen og Henrik Kristensen I/S, 26403561, Håndværker Torv 7, 7700 Thisted</t>
  </si>
  <si>
    <t>Ejnar K. Jeppesen, Indehaver, Ejendomsmægler, valuar</t>
  </si>
  <si>
    <t>Nybolig Esbjerg</t>
  </si>
  <si>
    <t>06.11.2019-30.04.2021</t>
  </si>
  <si>
    <t>https://www.boliga.dk/maegler/504</t>
  </si>
  <si>
    <t>jlm@nybolig.dk</t>
  </si>
  <si>
    <t>Nybolig Esbjerg I/S, 34007772, Borgergade 58, 6700 Esbjerg</t>
  </si>
  <si>
    <t>Jan L. Madsen Ejendomsmægler, Indehaver</t>
  </si>
  <si>
    <t>Nybolig Ribe</t>
  </si>
  <si>
    <t>05.11.2019</t>
  </si>
  <si>
    <t>https://www.boliga.dk/maegler/17485</t>
  </si>
  <si>
    <t>lsc@nybolig.dk</t>
  </si>
  <si>
    <t>Nybolig Ribe v/Lars Schack Jessen, 34381569, Seminarievej 12 C, 6760 Ribe</t>
  </si>
  <si>
    <t>Lars Schack Jessen, Indehaver, Ejendomsmægler</t>
  </si>
  <si>
    <t>Nybolig Esbjerg Rekrea</t>
  </si>
  <si>
    <t>06.11.2019- 30.04.2021</t>
  </si>
  <si>
    <t>https://www.boliga.dk/maegler/116</t>
  </si>
  <si>
    <t>sgy@nybolig.dk</t>
  </si>
  <si>
    <t>Nybolig Rekrea I/S, 34021023, Strandbygade 61, 6700 Esbjerg</t>
  </si>
  <si>
    <t>Søren Gyldenfeldt Aarøe Ejendomsmægler, Indehaver</t>
  </si>
  <si>
    <t>Nybolig Hinnerup og Hadsten</t>
  </si>
  <si>
    <t>12.11.2019</t>
  </si>
  <si>
    <t>https://www.boliga.dk/maegler/583
 https://www.boliga.dk/maegler/530</t>
  </si>
  <si>
    <t>kid@nybolig.dk</t>
  </si>
  <si>
    <t>Nybolig Hinnerup, 35720693, Søndergade 1, 8382 Hinnerup</t>
  </si>
  <si>
    <t>Kirsten Dalsgaard, Indehaver, Ejendomsmægler, MDE</t>
  </si>
  <si>
    <t>Nybolig Fanø</t>
  </si>
  <si>
    <t>08.11.2019</t>
  </si>
  <si>
    <t>https://www.boliga.dk/maegler/143</t>
  </si>
  <si>
    <t>kri@nybolig.dk</t>
  </si>
  <si>
    <t>Nybolig Fanø, 40026975, Hovedgaden 54, 6720 Fanø- nyt CPR nummer pr. 1. august : 43351575</t>
  </si>
  <si>
    <t>Kristin Martinsen, Indehaver, Ejendomsmægler, MDE</t>
  </si>
  <si>
    <t>Nybolig Struer og Ulfborg</t>
  </si>
  <si>
    <t>13.11.2019</t>
  </si>
  <si>
    <t>https://www.boliga.dk/maegler/775
 https://www.boliga.dk/maegler/101</t>
  </si>
  <si>
    <t>jfg@nybolig.dk</t>
  </si>
  <si>
    <t>Nybolig Struer v/Jesper Friis Gammelmark, 33995369, Smedegade 11-13, 7600 Struer</t>
  </si>
  <si>
    <t>Jesper Gammelmark, Indehaver</t>
  </si>
  <si>
    <t>Nybolig Vesthimmerland – Aars</t>
  </si>
  <si>
    <t>14.11.2019</t>
  </si>
  <si>
    <t>https://www.boliga.dk/maegler/835</t>
  </si>
  <si>
    <t>jba@nybolig.dk</t>
  </si>
  <si>
    <t>Nybolig Vesthimmerland - Aars I/S, 38241060, Himmerlandsgade 93, 9600 Aars</t>
  </si>
  <si>
    <t>Jacob Andersen Indehaver, Ejendomsmægler</t>
  </si>
  <si>
    <t>Nybolig Vesthimmerland - Løgstør</t>
  </si>
  <si>
    <t>https://www.boliga.dk/maegler/168</t>
  </si>
  <si>
    <t>llg@nybolig.dk</t>
  </si>
  <si>
    <t>Nybolig Vesthimmerland - Løgstør v/Louise Lund Grynderup, 33439679, Fischersgade 1, 9670 Løgstør</t>
  </si>
  <si>
    <t>Louise Lund Grynderup Indehaver, Ejendomsmægler</t>
  </si>
  <si>
    <t>EDC Grosbøl</t>
  </si>
  <si>
    <t>27.11.2019</t>
  </si>
  <si>
    <t>https://www.boliga.dk/maegler/407</t>
  </si>
  <si>
    <t>jech@edc.dk, lister KUN til camchr@edc.dk.</t>
  </si>
  <si>
    <t>EDC GROSBØL ApS, CVR nr.29197660, Rådhuscentret 2, 6500 Vojens</t>
  </si>
  <si>
    <t>Jesper Riistofte Christiansen, Partner, Ejendomsmægler</t>
  </si>
  <si>
    <t>Nybolig Varde</t>
  </si>
  <si>
    <t>29.11.2019-03.05.2021 (vil ikke forlænges er sidste status okt. 2021)</t>
  </si>
  <si>
    <t>https://www.boliga.dk/maegler/324</t>
  </si>
  <si>
    <t>jbr@nybolig.dk</t>
  </si>
  <si>
    <t>Nybolig Varde v/Jesper Brorson Hansen, CVR nr.27844960, Torvegade 7, 6800 Varde</t>
  </si>
  <si>
    <t>Jesper Brorson Hansen, Ejendomsmægler MDE, Indehaver</t>
  </si>
  <si>
    <t>Nybolig Odder</t>
  </si>
  <si>
    <t>02.12.2019</t>
  </si>
  <si>
    <t>https://www.boliga.dk/maegler/337</t>
  </si>
  <si>
    <t>bje@nybolig.dk</t>
  </si>
  <si>
    <t>Nybolig Odder v/Bo Bjerre Rasmussen og Jan Lunding Pedersen, CVR nr.25146565, Rådhusgade 2, 8300 Odder</t>
  </si>
  <si>
    <t>Bo Bjerre, Ejendomsmægler, MDE og valuar, Indehaver</t>
  </si>
  <si>
    <t>RealMæglerne Silkeborg v/Connie Halberg ApS</t>
  </si>
  <si>
    <t>05.12.2019</t>
  </si>
  <si>
    <t>https://www.boliga.dk/maegler/18814</t>
  </si>
  <si>
    <t>pd@mailreal.dk(primær på lister og faktura ( Connie kun CC) ch@mailreal.dk</t>
  </si>
  <si>
    <t>RealMæglerne Silkeborg v/Connie Halberg ApS, CVR nr.36457449, Borgergade 19, 8600 Silkeborg</t>
  </si>
  <si>
    <t>Connie Halberg, Indehaver &amp; køberrådgiver</t>
  </si>
  <si>
    <t>Nybolig Kjellerup – Frank Lerche</t>
  </si>
  <si>
    <t>https://www.boliga.dk/maegler/855
 https://www.boliga.dk/maegler/439</t>
  </si>
  <si>
    <t>flc@nybolig.dk</t>
  </si>
  <si>
    <t>Nybolig v/Frank Lerche, CVR nr.25202848, Søndergade 2 A, 8620 Kjellerup</t>
  </si>
  <si>
    <t>Frank Lerche Indehaver, Ejendomsmægler og valuar</t>
  </si>
  <si>
    <t>Danbolig Give</t>
  </si>
  <si>
    <t>12.12.2019</t>
  </si>
  <si>
    <t>https://www.boliga.dk/maegler/804</t>
  </si>
  <si>
    <t>Lars.secher@danbolig.dk</t>
  </si>
  <si>
    <t>Danbolig Give , CVR nr.18698536, Torvegade 5-7, 7323 Give</t>
  </si>
  <si>
    <t>Lars Secher Daglig leder, Ejendomsmægler MDE</t>
  </si>
  <si>
    <t>Nybolig ikast</t>
  </si>
  <si>
    <t>11.12.2019- 20.05.2021 (stoppet)</t>
  </si>
  <si>
    <t>https://www.boliga.dk/maegler/545</t>
  </si>
  <si>
    <t>kbv@nybolig.dk, lej@nybolig.dk (kun sidstnævnte lister)faktura til 7430@nybolig.dk</t>
  </si>
  <si>
    <t>Nybolig ikast, CVR nr.34822425, Østergade 5, 7430 Ikast</t>
  </si>
  <si>
    <t>Kasper Bæk Vestergaard,
 Indehaver, Ejendomsmægler og valuar</t>
  </si>
  <si>
    <t>Nybolig Tørring, Nybolig Brædstrup, Nybolig Jelling</t>
  </si>
  <si>
    <t>10.12.2019- køre forlængelse(efter aftale med Krahn) 1. maj-31. juli 2021,
 stoppet pr. 1. februar 2022</t>
  </si>
  <si>
    <t>https://www.boliga.dk/maegler/20712
 https://www.boliga.dk/maegler/376
 https://www.boliga.dk/maegler/18075</t>
  </si>
  <si>
    <t>stt@nybolig.dk</t>
  </si>
  <si>
    <t>Nybolig Tørring, Nybolig Brædstrup, Nybolig Jelling, CVR nr.35061924, Bredgade 27, 7160 Tørring</t>
  </si>
  <si>
    <t>Steffen Tornvig,
 Indehaver, Ejendomsmægler og valuar</t>
  </si>
  <si>
    <t>01.02.2020</t>
  </si>
  <si>
    <t>danbolig Hillerød
 Frederiksværksgade 7den
 3400 Hillerød 
 CVR 40847898
 db Hillerød P/S</t>
  </si>
  <si>
    <t>Nybolig Johnny Rasmussen</t>
  </si>
  <si>
    <t>07.02.2020 - 30.04.2021</t>
  </si>
  <si>
    <t>https://www.boliga.dk/maegler/35</t>
  </si>
  <si>
    <t>jor@nybolig.dk</t>
  </si>
  <si>
    <t>Nybolig Johnny Rasmussen, CVR nr. 13730504, Axeltorv 7, 4900 Nakskov</t>
  </si>
  <si>
    <t>Johnny Nyman Rasmussen Indehaver, Ejendomsmægler &amp; Valuar</t>
  </si>
  <si>
    <t>Estate Peter Møller</t>
  </si>
  <si>
    <t>15.02.2020</t>
  </si>
  <si>
    <t>https://www.boliga.dk/maegler/25121</t>
  </si>
  <si>
    <t>pem@estate.dk</t>
  </si>
  <si>
    <t>Estate Peter Møller, CVR nr.33823258, Erritsø Butikstorv, Erritsø Bygade 97 7000 Fredericia</t>
  </si>
  <si>
    <t>Peter Møller Indehaver, Ejendomsmægler &amp; Valuar MDE</t>
  </si>
  <si>
    <t>Nybolig Herning</t>
  </si>
  <si>
    <t>https://www.boliga.dk/maegler/374</t>
  </si>
  <si>
    <t>pho@nybolig.dk, alle mails kun til 7402@nybolig.dk</t>
  </si>
  <si>
    <t>Nybolig Herning
 Dalgas Plads 6, 1. tv.
 7400 Herning
 CVR: 32612741</t>
  </si>
  <si>
    <t>Povl Hollenvad
 Salg &amp; vurdering, Indehaver, Vurderingskonsulent for Totalkredit</t>
  </si>
  <si>
    <t>Danbolig Nørrebro og Nordvest( Brdr. Bredo)</t>
  </si>
  <si>
    <t>https://www.boliga.dk/maegler/135, https://www.boliga.dk/maegler/825</t>
  </si>
  <si>
    <t>henrik.bredo@danbolig.dk, hanna.petersen@danbolig.dk (barsel fra 13 juni, fremadrettet sendes lister til malene.larsen@danbolig.dk, og henrik )</t>
  </si>
  <si>
    <t>danbolig Nørrebro
 Fælledvej 6
 2200 København N 
 CVR 26671345
 Brdr. Bjørn Bredo &amp; partnere I ApS</t>
  </si>
  <si>
    <t>Henrik Bjørn Bredo
 Indehaver</t>
  </si>
  <si>
    <t>Danbolig Jyllinge</t>
  </si>
  <si>
    <t>https://www.boliga.dk/maegler/819</t>
  </si>
  <si>
    <t>helle.lynge@danbolig.dk, men faktura KUN til : heidi.meyer-karlsen@danbolig.dk, og lister til jyllinge@danbolig.dk</t>
  </si>
  <si>
    <t>danbolig Jyllinge
 Jyllingecentret 13 B
 4040 Jyllinge 
 CVR 28708505
 Heidi Meyer-Karlsen ApS</t>
  </si>
  <si>
    <t>Helle Lynge
 Ejendomsmægler MDE</t>
  </si>
  <si>
    <t>danbolig Aarhus Nord</t>
  </si>
  <si>
    <t>https://www.boliga.dk/maegler/17975</t>
  </si>
  <si>
    <t>Birgitte.Bro@danbolig.dk, kristina.bruun@danbolig.dk</t>
  </si>
  <si>
    <t>danbolig Aarhus Nord
 Tordenskjoldsgade 37
 8200 Aarhus N
 86 10 86 66
 CVR 34736618</t>
  </si>
  <si>
    <t>Birgitte Agerskov Bro
 Ansvarlig indehaver, Ejendomsmægler, diplomvaluar, MDE</t>
  </si>
  <si>
    <t>danbolig Aarhus City</t>
  </si>
  <si>
    <t>https://www.boliga.dk/maegler/347</t>
  </si>
  <si>
    <t>Birgitte.Bro@danbolig.dk, 
 nina.cederholm@danbolig.dk(sidste kun lister)</t>
  </si>
  <si>
    <t>danbolig Aarhus City
 M.P. Bruuns Gade 13
 8000 Aarhus C
 86 17 47 00
 CVR 29849722</t>
  </si>
  <si>
    <t>Kristian Voldsgaard
 Ansvarlig indehaver, Ejendomsmægler, MDE</t>
  </si>
  <si>
    <t>Boligmægler Næstved</t>
  </si>
  <si>
    <t>https://www.boliga.dk/maegler/28016</t>
  </si>
  <si>
    <t>kl@boligmaegler.com</t>
  </si>
  <si>
    <t>BoligMægler Næstved
 Toldbodgade 4, 4700 Næstved, Cvr. nr. 32784429</t>
  </si>
  <si>
    <t>Kim D. Larsen
 Ejendomsmægler, Daglig leder, MDE</t>
  </si>
  <si>
    <t>Home Farum</t>
  </si>
  <si>
    <t>https://www.boliga.dk/maegler/752</t>
  </si>
  <si>
    <t>hoff@home.dk</t>
  </si>
  <si>
    <t>home Farum
 Thomas Lausen A/S
 Farum Hovedgade 50 B, 3520 Farum, CVR nr.: 32259286</t>
  </si>
  <si>
    <t>Michael Hoffmann Butikschef &amp; Køberrådgiver, 26221664</t>
  </si>
  <si>
    <t>Sjælland- Lolland</t>
  </si>
  <si>
    <t>Robinhus Peter Langerup</t>
  </si>
  <si>
    <t>03-12-2020, De skal køre testperiode på 4 mdr. 500 pr salg( fra 1. maj er Krahn ved at forhandle postnumre)-er nu stoppet d. 23.maj 2022 skal have sidste liste til og med omkring 9. maj. da Estate overtog.</t>
  </si>
  <si>
    <t>https://www.boliga.dk/maegler/27521</t>
  </si>
  <si>
    <t>lfm@robinhus.dk</t>
  </si>
  <si>
    <t>Peter Langerup · 
 Ejendomsmægler &amp; Valuar, MDE
 22 59 50 25 · lfm@robinhus.dk
 CVR 34030200</t>
  </si>
  <si>
    <t>Nybolig Lemvig</t>
  </si>
  <si>
    <t>https://www.boliga.dk/maegler/540</t>
  </si>
  <si>
    <t>rnq@nybolig.dk</t>
  </si>
  <si>
    <t>Nybolig Lemvig
 Rasmus Nielsen
 Indehaver, Ejendomsmægler MDE, Vurderingskonsulent for Totalkredit
 Tlf: 9782 1800, rnq@nybolig.dk
 CVR: 41374667</t>
  </si>
  <si>
    <t>Rasmus Nielsen</t>
  </si>
  <si>
    <t>danbolig Brabrand – Aarhus V – Åbyhøj</t>
  </si>
  <si>
    <t>01-12-2020- stoppet pr. 1. juli 2022</t>
  </si>
  <si>
    <t>https://www.boliga.dk/maegler/18150</t>
  </si>
  <si>
    <t>bjarke.ankjaer@danbolig.dk</t>
  </si>
  <si>
    <t>Silkeborgvej 234A
 8230 Åbyhøj 
 CVR 36034750</t>
  </si>
  <si>
    <t>Bjarke Ankjær
 Indehaver, Ejendomsmægler MDE</t>
  </si>
  <si>
    <t>Bornholm</t>
  </si>
  <si>
    <t>16-12-2020, afregning fra 5 januar 2021</t>
  </si>
  <si>
    <t>martin.kok-hansen@danbolig.dk, Peter Jensen - danbolig Nexø &lt;peter.jensen@danbolig.dk&gt;(sidsnævnte kun mails) faktura skal sendes til:roenne@danbolig.dk</t>
  </si>
  <si>
    <t>EjendomsBørsen v/ Ole W. Kok-Hansen 
 Nørregade 6
 Rønne
 3700 Rønne
 CVR
 27503802</t>
  </si>
  <si>
    <t>Martin W. Kok-Hansen</t>
  </si>
  <si>
    <t>danbolig Hobro - Mariager</t>
  </si>
  <si>
    <t>https://www.boliga.dk/maegler/27653</t>
  </si>
  <si>
    <t>anders.svenningsen@danbolig.dk</t>
  </si>
  <si>
    <t>danbolig Hobro - Mariager
 Randersvej 61A
 9500 Hobro
 98 52 20 10
 hobro@danbolig.dk
 CVR: 41276886
 DB Mariagerfjord ApS</t>
  </si>
  <si>
    <t>Anders Svenningsen
 Indehaver
 Ejendomsmægler, MDE</t>
  </si>
  <si>
    <t>Kim Fischer - danbolig Valby &lt;kim.fischer@danbolig.dk&gt;</t>
  </si>
  <si>
    <t>FISCHER, BOLIGCENTER VESTERBRO ApS
 Istedgade 132
 1650 København V
 CVR
 34485526</t>
  </si>
  <si>
    <t>FISCHER, BOLIGCENTER VALBY ApS
 Valby Langgade 114
 2500 Valby
 CVR
 26671221</t>
  </si>
  <si>
    <t>Danbolig Frederiksberg og Frederiksberg C</t>
  </si>
  <si>
    <t>https://www.boliga.dk/maegler/26235
 https://www.boliga.dk/maegler/29021</t>
  </si>
  <si>
    <t>patrick.soerensen@danbolig.dk&gt;; Nicholai.Mathiesen@danbolig.dk</t>
  </si>
  <si>
    <t>danbolig Frederiksberg
 Godthåbsvej 17
 2000 Frederiksberg 
 CVR 40673369
 la Cour og Sørensen Aps</t>
  </si>
  <si>
    <t>https://www.boliga.dk/maegler/25169, 
 https://www.boliga.dk/maegler/25157, 
 https://www.boliga.dk/maegler/25168,</t>
  </si>
  <si>
    <t>Martin Frost &lt;MF@estate.dk&gt;; Hong Nhat Than &lt;hnt@estate.dk&gt;</t>
  </si>
  <si>
    <t>ESTATE AMAGER ApS
 Amagerbrogade 34
 2300 København S
 CVR
 32063268</t>
  </si>
  <si>
    <t>Home Østerbro og Østerbro-svanemøllen</t>
  </si>
  <si>
    <t>https://www.boliga.dk/maegler/531
 https://www.boliga.dk/maegler/173</t>
  </si>
  <si>
    <t>mberg@home.dk; almal@home.dk</t>
  </si>
  <si>
    <t>Bengtson, Frydendall &amp; Berg A/S
 CVR-nummer40098186
 AdresseNordre Frihavnsgade 71
 Postnummer og by2100 København Ø</t>
  </si>
  <si>
    <t>EDC Ikast</t>
  </si>
  <si>
    <t>20-05-2021- stopper pr. 1. juni 2022</t>
  </si>
  <si>
    <t>https://www.boliga.dk/maegler/717</t>
  </si>
  <si>
    <t>hm.713@edc.dk</t>
  </si>
  <si>
    <t>Strøget 34
 7430 Ikast
 Telefon:97 15 33 22
 E-mail:713@edc.dk
 CVR:26 10 08 95</t>
  </si>
  <si>
    <t>Nicolai Søgaard Møller
 Indehaver - Salg &amp; vurdering</t>
  </si>
  <si>
    <t>Danbolig Holstebro</t>
  </si>
  <si>
    <t>01-09-2021- stopper pr. 1. juni 2022</t>
  </si>
  <si>
    <t>Alexander.C@danbolig.dk;michelle.c@danbolig.dk (send KUN lister til Michelle)</t>
  </si>
  <si>
    <t>danbolig Holstebro
 Helgolandsgade 20
 7500 Holstebro
 CVR: 42465755
 Db Holstebro I/S</t>
  </si>
  <si>
    <t>Alexander Christensen
 Indehaver &amp; Ejendomsmægler, MDE</t>
  </si>
  <si>
    <t>Nybolig Risskov</t>
  </si>
  <si>
    <t>https://www.boliga.dk/maegler/171</t>
  </si>
  <si>
    <t>8240@nybolig.dk</t>
  </si>
  <si>
    <t>fau@nybolig.dk</t>
  </si>
  <si>
    <t>Nybolig Risskov - Mads Faurholt
 Nordre Strandvej 37
 8240 Risskov
 CVR 41204265</t>
  </si>
  <si>
    <t>Mads Faurholt</t>
  </si>
  <si>
    <t>ESTATE ALLEBO LYSTRUP - SKØDSTRUP APS</t>
  </si>
  <si>
    <t>https://www.boliga.dk/maegler/25115</t>
  </si>
  <si>
    <t>tha@estate.dk, elb@estate.dk, 8520@estate.dk(lister KUN til mlb@estate.dk )fra 1. juni kun til mlb@estate.dk (vigtigt ang. lister)</t>
  </si>
  <si>
    <t>elb@estate.dk
 tha@estate.dk(faktura)</t>
  </si>
  <si>
    <t>ESTATE ALLEBO LYSTRUP - SKØDSTRUP APS
 Bystævnet 3
 8520 Lystrup
 Cvr: 32664725</t>
  </si>
  <si>
    <t>home Korsør</t>
  </si>
  <si>
    <t>https://www.boliga.dk/maegler/88</t>
  </si>
  <si>
    <t>209@home.dk</t>
  </si>
  <si>
    <t>mikol@home.dk</t>
  </si>
  <si>
    <t>Ejendomsmægler Steen Grosen
 Caspar Brands Plads 9
 4220 Korsør
 CVR nr.: 35365478</t>
  </si>
  <si>
    <t>Mikkel Olsen Partner, Ejendomsmægler, Salgschef, VU for RD</t>
  </si>
  <si>
    <t>Realmæglerne Nordhavn</t>
  </si>
  <si>
    <t>https://www.boliga.dk/maegler/24227
 https://www.boliga.dk/maegler/17767
 https://www.boliga.dk/maegler/17480</t>
  </si>
  <si>
    <t>lcl@mailreal.dk</t>
  </si>
  <si>
    <t>RealMæglerne Nordhavn ApS 
 Sandkaj 17A 
 2150, Nordhavn 
 Lasse Lemche
 CVR: 39122006</t>
  </si>
  <si>
    <t>Lasse Lemche</t>
  </si>
  <si>
    <t>Camilla</t>
  </si>
  <si>
    <t>Home Dronninglund, Home Abybro-Brovst</t>
  </si>
  <si>
    <t>15-03-2022, fra 17.06 tilføjes en anden butik og hals fjernes</t>
  </si>
  <si>
    <t>https://www.boliga.dk/maegler/29122 
 https://www.boliga.dk/maegler/711</t>
  </si>
  <si>
    <t>frost@home.dk</t>
  </si>
  <si>
    <t>Mark Holm Frost
 Indehaver, Ejd.mægler MDE
 home Dronninglund
 Slotsgade 58, 9330 Dronninglund
 cvr 39230216</t>
  </si>
  <si>
    <t>christian</t>
  </si>
  <si>
    <t>Home Varde</t>
  </si>
  <si>
    <t>https://www.boliga.dk/maegler/952</t>
  </si>
  <si>
    <t>726@home.dk</t>
  </si>
  <si>
    <t>mgrue@home.dk</t>
  </si>
  <si>
    <t>Lind, Grue og Dreyer I/S
 CVR-nummer
 42918970
 Adresse
 J. Lauritzens Plads 4
 Postnummer og by
 6760 Ribe</t>
  </si>
  <si>
    <t>Michael Grue</t>
  </si>
  <si>
    <t>Home Bramming</t>
  </si>
  <si>
    <t>https://www.boliga.dk/maegler/704</t>
  </si>
  <si>
    <t>711@home.dk</t>
  </si>
  <si>
    <t>Home Esbjerg</t>
  </si>
  <si>
    <t>https://www.boliga.dk/maegler/160</t>
  </si>
  <si>
    <t>714@home.dk</t>
  </si>
  <si>
    <t>bebe@home.dk</t>
  </si>
  <si>
    <t>home Esbjerg - Strandbygade
 Behrendsen &amp; Christensen
 • Strandbygade 13
 • 6700 Esbjerg
 • tel:75137011
 • CVR nr.: 32588069</t>
  </si>
  <si>
    <t>Behrend Behrendsen Direktør og indehaver
 bebe@home.dk</t>
  </si>
  <si>
    <t>ESTATE NYKØBING FALSTER</t>
  </si>
  <si>
    <t>https://www.boliga.dk/maegler/27067</t>
  </si>
  <si>
    <t>4800@estate</t>
  </si>
  <si>
    <t>tk@estate.dk</t>
  </si>
  <si>
    <t>ESTATE NYKØBING FALSTER
 Langgade 5, st.
 4800 Nykøbing Falster
 CVR: 40588094</t>
  </si>
  <si>
    <t>https://www.boliga.dk/maegler/29110</t>
  </si>
  <si>
    <t>Mønten 2, 3600 Frederikssund</t>
  </si>
  <si>
    <t>Rasmus Frank
 Indehaver, ejendomsmægler &amp; valuar, MDE</t>
  </si>
  <si>
    <t>Nybolig Bjørn &amp; Ankersen - Randers</t>
  </si>
  <si>
    <t>https://www.boliga.dk/maegler/901</t>
  </si>
  <si>
    <t>8901@nybolig.dk</t>
  </si>
  <si>
    <t>chr@nybolig.dk, hc1@nybolig.dk(kun sidstnævnte lister)</t>
  </si>
  <si>
    <t>Østervold 47 8900 Randers CVR: 30983475</t>
  </si>
  <si>
    <t>Christian Bjørn
 Ejendomsmægler og valuar MDE, Indehaver
 6969chr@nybolig.dk</t>
  </si>
  <si>
    <t>home Åbyhøj - Aarhus V - Brabrand</t>
  </si>
  <si>
    <t>https://www.boliga.dk/maegler/934</t>
  </si>
  <si>
    <t>640@home.dk</t>
  </si>
  <si>
    <t>west@home.dk</t>
  </si>
  <si>
    <t>home Åbyhøj - Aarhus V - Brabrand
 west@home.dk 
 25268182
 Silkeborgvej 253
 8230 Åbyhøj
 CVR nr.: 41374985</t>
  </si>
  <si>
    <t>Theis Westergaard Theis Westergaard Indehaver &amp; ejendomsmægler, MDE</t>
  </si>
  <si>
    <t>Home Tilst Sabroe</t>
  </si>
  <si>
    <t>https://www.boliga.dk/maegler/19703</t>
  </si>
  <si>
    <t>618@home.dk</t>
  </si>
  <si>
    <t>home Tilst - Sabro 
 Tilst Skolevej 38
 8381 Tilst
 CVR nr.: 41374985</t>
  </si>
  <si>
    <t>Realisret 2021 - Jylland+Fyn+Bornholm</t>
  </si>
  <si>
    <t>Realisret 2021 - Sjælland</t>
  </si>
  <si>
    <t>Realiseret Christian</t>
  </si>
  <si>
    <t>Realiseret Martin</t>
  </si>
  <si>
    <t>Realiseret Camilla</t>
  </si>
  <si>
    <t>Skuffesager 2020/2021</t>
  </si>
  <si>
    <t>Paulun København City</t>
  </si>
  <si>
    <t>Torben Hald</t>
  </si>
  <si>
    <t>Store Kongensgade 53-55</t>
  </si>
  <si>
    <t>København</t>
  </si>
  <si>
    <t>København By</t>
  </si>
  <si>
    <t>Hovedstaden</t>
  </si>
  <si>
    <t>1000-1550</t>
  </si>
  <si>
    <t>-</t>
  </si>
  <si>
    <t>1253, 1370, 1157, 1265, 1302, 1211, 1358, 1310, 1363, 1313, 1432, 1451, 1453, 1466</t>
  </si>
  <si>
    <t>1123, 1107, 1104, 1302, 1304, 1253, 1256, 1316, 2400, 1359, 1112, 1363, 1264, 1427, 1665, 1432, 1354, 1453, 2200, 1425</t>
  </si>
  <si>
    <t>Danbolig Fischer, Boligcenter Vesterbro Aps</t>
  </si>
  <si>
    <t>Kim Fischer</t>
  </si>
  <si>
    <t>1500-1799, 2200, 2400, 2450, 2500, 2700, 2860, 2880</t>
  </si>
  <si>
    <t>1970, 1561, 1704, 1159, 1799, 1601, 1718, 1666, 1813, 2200</t>
  </si>
  <si>
    <t>1658, 1564, 1722, 1651, 1756, 1561, 1660, 1573, 1725, 1720, 2000, 1620, 1700, 1726</t>
  </si>
  <si>
    <t>danbolig Frederiksberg C</t>
  </si>
  <si>
    <t>Nicholai la Cour Mathiesen</t>
  </si>
  <si>
    <t>Gammel Kongevej 167E</t>
  </si>
  <si>
    <t>33 11 71 77</t>
  </si>
  <si>
    <t>1800-2000</t>
  </si>
  <si>
    <t>1829, 1874, 1868</t>
  </si>
  <si>
    <t>Paulun Frederiksberg</t>
  </si>
  <si>
    <t>Gammel Kongevej 161</t>
  </si>
  <si>
    <t>1000-1550, 1800-2000, 2100, 2150, 2300, 2770, 2791</t>
  </si>
  <si>
    <t>1754, 1705, 1900, 2000</t>
  </si>
  <si>
    <t>1900, 2500, 2800, 2720, 2765, 2000, 2300</t>
  </si>
  <si>
    <t>danbolig Frederiksberg</t>
  </si>
  <si>
    <t>Godthåbsvej 17</t>
  </si>
  <si>
    <t>1879, 2000</t>
  </si>
  <si>
    <t>1801, 1799, 1810, 1874, 1902, 1920, 1850, 1966, 1904, 1970, 2200, 2000</t>
  </si>
  <si>
    <t>home Østerbro</t>
  </si>
  <si>
    <t>Martin Berg</t>
  </si>
  <si>
    <t>Ndr. Frihavnsgade 71</t>
  </si>
  <si>
    <t>2100, 215</t>
  </si>
  <si>
    <t>home Østerbro - Svanemøllen</t>
  </si>
  <si>
    <t>Østerbrogade 153</t>
  </si>
  <si>
    <t>39 15 78 70</t>
  </si>
  <si>
    <t>127@home.dk</t>
  </si>
  <si>
    <t>https://www.boliga.dk/maegler/531</t>
  </si>
  <si>
    <t>2100, 1600</t>
  </si>
  <si>
    <t>Paulun Østerbro</t>
  </si>
  <si>
    <t>Dag Hammarskjölds Allé 37</t>
  </si>
  <si>
    <t>2920, 2100</t>
  </si>
  <si>
    <t>2870, 2100</t>
  </si>
  <si>
    <t>danbolig Nørrebro - Brdr. Bjørn Bredo &amp; partnere</t>
  </si>
  <si>
    <t>Henrik Bredo</t>
  </si>
  <si>
    <t>Fælledvej 6</t>
  </si>
  <si>
    <t>Tlf.: 3536 1444</t>
  </si>
  <si>
    <t>2200, 24</t>
  </si>
  <si>
    <t>1674, 2200</t>
  </si>
  <si>
    <t>Estate Amager ApS - Amagerbrogade</t>
  </si>
  <si>
    <t>Martin Frost</t>
  </si>
  <si>
    <t>Amagerbrogade 34</t>
  </si>
  <si>
    <t>2300, 2770, 2791</t>
  </si>
  <si>
    <t>2100, 2920, 2300, 2200</t>
  </si>
  <si>
    <t>2000, 2300, 1416, 2630, 2930</t>
  </si>
  <si>
    <t>Estate Amager ApS - Islands Brygge</t>
  </si>
  <si>
    <t>Islands Brygge 7</t>
  </si>
  <si>
    <t>2301@estate.dk</t>
  </si>
  <si>
    <t>https://www.boliga.dk/maegler/25170</t>
  </si>
  <si>
    <t>2300, 1666</t>
  </si>
  <si>
    <t>2000, 2300, 2630</t>
  </si>
  <si>
    <t>Estate Ørestad</t>
  </si>
  <si>
    <t>Field’s Copenhagen Ørestads Boulevard 102 C</t>
  </si>
  <si>
    <t>2302@estate.dk</t>
  </si>
  <si>
    <t>https://www.boliga.dk/maegler/25168</t>
  </si>
  <si>
    <t>2300, 2400</t>
  </si>
  <si>
    <t>Paulun Amager</t>
  </si>
  <si>
    <t>2770, 2791, 2300</t>
  </si>
  <si>
    <t>2500, 2300</t>
  </si>
  <si>
    <t>Paulun Islands Brygge</t>
  </si>
  <si>
    <t>Islands Brygge 81D</t>
  </si>
  <si>
    <t>2300, 2450</t>
  </si>
  <si>
    <t>danbolig Nordvest-Emdrup - Brdr. Bjørn Bredo &amp; partnere</t>
  </si>
  <si>
    <t>3810 1444</t>
  </si>
  <si>
    <t>Danbolig Fischer, Boligcenter Valby Aps</t>
  </si>
  <si>
    <t>Tlf.: 3646 1444</t>
  </si>
  <si>
    <t>2000, 2650, 2500</t>
  </si>
  <si>
    <t>1429, 2000, 2450, 2500</t>
  </si>
  <si>
    <t>RealMæglerne HALLBERG</t>
  </si>
  <si>
    <t>Paul Hallberg</t>
  </si>
  <si>
    <t>Københavns omegn</t>
  </si>
  <si>
    <t>2600, 2605, 2620</t>
  </si>
  <si>
    <t>2730, 2620, 2200, 2605, 2600, 2765, 2860, 2700, 2610</t>
  </si>
  <si>
    <t>2600, 2620, 2730, 2605, 2630, 2610, 2700</t>
  </si>
  <si>
    <t>danbolig Rødovre A/S</t>
  </si>
  <si>
    <t>kenneth Thiemke</t>
  </si>
  <si>
    <t>Tlf.: 3641 4444</t>
  </si>
  <si>
    <t>1879, 2500, 2610, 2670</t>
  </si>
  <si>
    <t>2600, 4300, 2610</t>
  </si>
  <si>
    <t>danbolig Taastrup</t>
  </si>
  <si>
    <t>Taastrup Hovedgade 103</t>
  </si>
  <si>
    <t>Taastrup</t>
  </si>
  <si>
    <t>Høje-Taastrup</t>
  </si>
  <si>
    <t>Tlf.: 4371 0029</t>
  </si>
  <si>
    <t>2630, 264</t>
  </si>
  <si>
    <t>2630, 2600</t>
  </si>
  <si>
    <t>2630, 2640</t>
  </si>
  <si>
    <t>danbolig Hedehusene</t>
  </si>
  <si>
    <t>Vesterkøb 8</t>
  </si>
  <si>
    <t>Hedehusene</t>
  </si>
  <si>
    <t>43 33 44 44</t>
  </si>
  <si>
    <t>hedehusene@danbolig.dk</t>
  </si>
  <si>
    <t>https://www.boliga.dk/maegler/29030</t>
  </si>
  <si>
    <t>danbolig Hvidovre</t>
  </si>
  <si>
    <t>Hvidovrevej 223 st.</t>
  </si>
  <si>
    <t>2650, 2610</t>
  </si>
  <si>
    <t>2605, 2650</t>
  </si>
  <si>
    <t>Nybolig Mariann Trolledahl Vallensbæk</t>
  </si>
  <si>
    <t>Mariann Trolledahl</t>
  </si>
  <si>
    <t>Vallensbæk Stationstorv 57</t>
  </si>
  <si>
    <t>Vallensbæk Str.</t>
  </si>
  <si>
    <t>Vallensbæk</t>
  </si>
  <si>
    <t>2625, 2635, 2660, 2665, 2670, 2680, 2690, 4622</t>
  </si>
  <si>
    <t>2625, 2660, 2665, 2605</t>
  </si>
  <si>
    <t>2620, 2625, 2660, 2635, 2665</t>
  </si>
  <si>
    <t>Greve</t>
  </si>
  <si>
    <t>Østsjælland</t>
  </si>
  <si>
    <t>2670, 2690, 4000</t>
  </si>
  <si>
    <t>2690, 2635, 2700, 2670</t>
  </si>
  <si>
    <t>Solrød</t>
  </si>
  <si>
    <t>4622, 4600, 2680, 4681</t>
  </si>
  <si>
    <t>4622, 4673, 2680, 4623</t>
  </si>
  <si>
    <t>danbolig Brønshøj - Holm &amp; Hauberg</t>
  </si>
  <si>
    <t>Morten hauberg</t>
  </si>
  <si>
    <t>2700, 2400</t>
  </si>
  <si>
    <t>RealMæglerne Hallberg</t>
  </si>
  <si>
    <t>Frederikssundsvej 179B</t>
  </si>
  <si>
    <t>2700@mailreal.dk</t>
  </si>
  <si>
    <t>danbolig Vanløse ApS</t>
  </si>
  <si>
    <t>Catrine Ingemann</t>
  </si>
  <si>
    <t>Jernbane Alle 54</t>
  </si>
  <si>
    <t>2720, 2700</t>
  </si>
  <si>
    <t>danbolig Herlev</t>
  </si>
  <si>
    <t>Klaus Jørgensen</t>
  </si>
  <si>
    <t>2730, 2860</t>
  </si>
  <si>
    <t>Herlev Hovedgade 113</t>
  </si>
  <si>
    <t>4343 0304</t>
  </si>
  <si>
    <t>2730@mailreal.dk</t>
  </si>
  <si>
    <t>https://www.boliga.dk/maegler/28535</t>
  </si>
  <si>
    <t>danbolig Ballerup/Smørum - Henrik Dreyer &amp; Brian Dreyer Larsen</t>
  </si>
  <si>
    <t>Henrik Dreyer</t>
  </si>
  <si>
    <t>Tlf.: 4497 9126</t>
  </si>
  <si>
    <t>2740, 2750, 2760, 2765</t>
  </si>
  <si>
    <t>3660, 2740, 2750</t>
  </si>
  <si>
    <t>2765, 2600, 2750, 2740</t>
  </si>
  <si>
    <t>Estate Amager ApS - Kongelundsvej</t>
  </si>
  <si>
    <t>Tårnby</t>
  </si>
  <si>
    <t>2770@estate.dk</t>
  </si>
  <si>
    <t>2770, 1429, 2791, 2700</t>
  </si>
  <si>
    <t>2770, 2650, 2791</t>
  </si>
  <si>
    <t>Kongelundsvej 326</t>
  </si>
  <si>
    <t>2770, 2791</t>
  </si>
  <si>
    <t>danbolig Lyngby</t>
  </si>
  <si>
    <t>Carsten Engelborg</t>
  </si>
  <si>
    <t>Lyngby</t>
  </si>
  <si>
    <t>Lyngby-Taarbæk</t>
  </si>
  <si>
    <t>2800, 283</t>
  </si>
  <si>
    <t>2800, 2860</t>
  </si>
  <si>
    <t>danbolig Gentofte</t>
  </si>
  <si>
    <t>Frederik Fausing</t>
  </si>
  <si>
    <t>2820, 287</t>
  </si>
  <si>
    <t>2820, 2860</t>
  </si>
  <si>
    <t>danbolig Vangede-Dyssegård</t>
  </si>
  <si>
    <t>Tyge Hellberg</t>
  </si>
  <si>
    <t>2820, 2870, 2860</t>
  </si>
  <si>
    <t>2820, 2870</t>
  </si>
  <si>
    <t>danbolig Virum</t>
  </si>
  <si>
    <t>Virum Torv 2</t>
  </si>
  <si>
    <t>Ejendomsmægler Peter Schmidt - Danbolig</t>
  </si>
  <si>
    <t>Peter Schmidt</t>
  </si>
  <si>
    <t>Rudersdal</t>
  </si>
  <si>
    <t>Nordsjælland</t>
  </si>
  <si>
    <t>Tlf.: 4541 2041</t>
  </si>
  <si>
    <t>2840, 2850, 2942, 2950</t>
  </si>
  <si>
    <t>2840, 2800, 2850, 2942, 2950</t>
  </si>
  <si>
    <t>2720, 2850, 2840, 2942, 2950</t>
  </si>
  <si>
    <t>danbolig Søborg - Holm &amp; Hauberg</t>
  </si>
  <si>
    <t>Gladsaxe</t>
  </si>
  <si>
    <t>2800, 2860, 2100</t>
  </si>
  <si>
    <t>2300, 2860, 2820</t>
  </si>
  <si>
    <t>danbolig Bagsværd - Holm &amp; Hauberg</t>
  </si>
  <si>
    <t>2800, 2880, 3500</t>
  </si>
  <si>
    <t>2880, 2800</t>
  </si>
  <si>
    <t>LokalBolig Hellerup ApS</t>
  </si>
  <si>
    <t>Jan Vingaard</t>
  </si>
  <si>
    <t>LokalBolig Charlottenlund/Klampenborg ApS</t>
  </si>
  <si>
    <t>Jensløvsvej 1</t>
  </si>
  <si>
    <t>2930, 292</t>
  </si>
  <si>
    <t>2930, 2920</t>
  </si>
  <si>
    <t>danbolig Larsen &amp; Larnæs</t>
  </si>
  <si>
    <t>Anders O Larsen</t>
  </si>
  <si>
    <t>Usserød Kongevej 92</t>
  </si>
  <si>
    <t>2960, 2970, 2980, 2990</t>
  </si>
  <si>
    <t>2960, 3400, 2990, 2950, 2970, 2980</t>
  </si>
  <si>
    <t>2960, 2970, 2990, 2980</t>
  </si>
  <si>
    <t>danbolig Helsingør Casper Nielsen &amp; Kim Nielsen</t>
  </si>
  <si>
    <t>Casper Nielsen</t>
  </si>
  <si>
    <t>Kongensgade 2</t>
  </si>
  <si>
    <t>Tlf.: 4926 1100</t>
  </si>
  <si>
    <t>3000, 315</t>
  </si>
  <si>
    <t>3080, 3140, 3000</t>
  </si>
  <si>
    <t>3140, 3060, 3000, 3080, 3070</t>
  </si>
  <si>
    <t>danbolig Espergærde</t>
  </si>
  <si>
    <t>Thomas Bloch</t>
  </si>
  <si>
    <t>3050, 3060, 3070, 3080, 3490, 3100, 3120, 3240</t>
  </si>
  <si>
    <t>3060, 3490, 3070, 3000, 3050, 3080</t>
  </si>
  <si>
    <t>3070, 3050, 3060, 3000, 3490</t>
  </si>
  <si>
    <t>danbolig Hornbæk</t>
  </si>
  <si>
    <t>3100, 3000, 3140, 3120</t>
  </si>
  <si>
    <t>3100, 3120, 3150, 3140, 3250</t>
  </si>
  <si>
    <t>danbolig Helsinge</t>
  </si>
  <si>
    <t>Stine Gerner</t>
  </si>
  <si>
    <t>Vestergade 11</t>
  </si>
  <si>
    <t>Gribskov</t>
  </si>
  <si>
    <t>3200, 3230</t>
  </si>
  <si>
    <t>danbolig Tisvildeleje</t>
  </si>
  <si>
    <t>Tennisvej 2</t>
  </si>
  <si>
    <t>Tisvildeleje</t>
  </si>
  <si>
    <t>4870 1045</t>
  </si>
  <si>
    <t>Tisvildeleje@danbolig.dk</t>
  </si>
  <si>
    <t>https://www.boliga.dk/maegler/667</t>
  </si>
  <si>
    <t>3210, 322</t>
  </si>
  <si>
    <t>3210, 3220</t>
  </si>
  <si>
    <t>danbolig Gilleleje</t>
  </si>
  <si>
    <t>Kristian Eriksen</t>
  </si>
  <si>
    <t>Gilleleje Hovedgade 1A</t>
  </si>
  <si>
    <t>3230, 325</t>
  </si>
  <si>
    <t>3250, 3230, 3100, 3120</t>
  </si>
  <si>
    <t>3250, 3000, 3390, 3120, 3230, 3210</t>
  </si>
  <si>
    <t>danbolig Andersen &amp; Partnere</t>
  </si>
  <si>
    <t>Jesper Hougaard Andersen</t>
  </si>
  <si>
    <t>Aarhus</t>
  </si>
  <si>
    <t>Østjylland</t>
  </si>
  <si>
    <t>Midtjylland</t>
  </si>
  <si>
    <t>8260, 8270, 8310, 8361</t>
  </si>
  <si>
    <t>6520, 6500, 6541, 6230, 6792, 8270, 8260, 6510, 8310, 6560, 8361</t>
  </si>
  <si>
    <t>6520, 8270, 6535, 6510, 8260, 6500, 8310, 6650, 8355, 8361</t>
  </si>
  <si>
    <t>danbolig Hundested</t>
  </si>
  <si>
    <t>Kajgaden 9H</t>
  </si>
  <si>
    <t>Halsnæs</t>
  </si>
  <si>
    <t>3390, 3360, 3370, 3300, 3310</t>
  </si>
  <si>
    <t>3370, 3390</t>
  </si>
  <si>
    <t>3360, 3390, 3370</t>
  </si>
  <si>
    <t>danbolig Hillerød</t>
  </si>
  <si>
    <t>Jan Persson</t>
  </si>
  <si>
    <t>Frederiksværksgade 7</t>
  </si>
  <si>
    <t>3320, 3330, 3400, 3450, 3540</t>
  </si>
  <si>
    <t>3400, 3320, 3330</t>
  </si>
  <si>
    <t>danbolig Allerød</t>
  </si>
  <si>
    <t>Allerød Stationsvej 2 E</t>
  </si>
  <si>
    <t>3450, 3540</t>
  </si>
  <si>
    <t>3450, 3540, 3550</t>
  </si>
  <si>
    <t>danbolig Birkerød - Rasmussen &amp; Holm</t>
  </si>
  <si>
    <t>lars Holm</t>
  </si>
  <si>
    <t>Tlf.: 4581 4581</t>
  </si>
  <si>
    <t>2800, 3450, 3460</t>
  </si>
  <si>
    <t>Nybolig Thomas Jürgensen</t>
  </si>
  <si>
    <t>homas Jürgensen</t>
  </si>
  <si>
    <t>Wendorfsvej 6, st. mf.</t>
  </si>
  <si>
    <t>3050, 3000, 3480</t>
  </si>
  <si>
    <t>3050, 2990, 3060, 3480</t>
  </si>
  <si>
    <t>danbolig Værløse</t>
  </si>
  <si>
    <t>Furesø</t>
  </si>
  <si>
    <t>Tlf.: 4447 6060</t>
  </si>
  <si>
    <t>3520, 3500</t>
  </si>
  <si>
    <t>danbolig Christian Winther</t>
  </si>
  <si>
    <t>Christian Winther</t>
  </si>
  <si>
    <t>Farum Hovedgade 11</t>
  </si>
  <si>
    <t>Farum</t>
  </si>
  <si>
    <t>Tlf.: 4495 6768</t>
  </si>
  <si>
    <t>Farum@DanBolig.dk</t>
  </si>
  <si>
    <t>https://www.boliga.dk/maegler/94</t>
  </si>
  <si>
    <t>home Farum</t>
  </si>
  <si>
    <t>Michael Hoffmann</t>
  </si>
  <si>
    <t>Farum Hovedgade 50 B</t>
  </si>
  <si>
    <t>44 95 20 77</t>
  </si>
  <si>
    <t>122@home.dk</t>
  </si>
  <si>
    <t>3520, 3660</t>
  </si>
  <si>
    <t>danbolig Frederikssund</t>
  </si>
  <si>
    <t>Rasmus Frank</t>
  </si>
  <si>
    <t>3550, 3600, 3630, 4050</t>
  </si>
  <si>
    <t>3600, 4050, 3310, 3550, 3630</t>
  </si>
  <si>
    <t>4050, 3310, 3600, 3550, 3630</t>
  </si>
  <si>
    <t>danbolig Stenløse Ølstykke</t>
  </si>
  <si>
    <t>Kenneth Gregers</t>
  </si>
  <si>
    <t>Egedal</t>
  </si>
  <si>
    <t>Tlf.: 4710 7778</t>
  </si>
  <si>
    <t>3660, 3650, 3670</t>
  </si>
  <si>
    <t>4050, 3650, 3630, 3660</t>
  </si>
  <si>
    <t>3650, 3630, 3660</t>
  </si>
  <si>
    <t>Ejendomsmæglere &amp; Valuar Ole &amp; Martin W. Kok-Hansen</t>
  </si>
  <si>
    <t>Nørregade 6</t>
  </si>
  <si>
    <t>3757, 3700, 3720, 3730, 3740, 3751, 3760, 3770, 3782, 3790</t>
  </si>
  <si>
    <t>3730, 3740, 3770, 3720, 3760, 3700, 3751, 3790, 3782</t>
  </si>
  <si>
    <t>Torvet 13</t>
  </si>
  <si>
    <t>Nexø</t>
  </si>
  <si>
    <t>danbolig Roskilde C</t>
  </si>
  <si>
    <t>Nicolai Karhof</t>
  </si>
  <si>
    <t>Hersegade 6</t>
  </si>
  <si>
    <t>roskilde-hersegade@danbolig.dk</t>
  </si>
  <si>
    <t>https://www.boliga.dk/maegler/22795</t>
  </si>
  <si>
    <t>4000, 4060, 4070, 4320, 4330</t>
  </si>
  <si>
    <t>4621, 4000</t>
  </si>
  <si>
    <t>4633 2020</t>
  </si>
  <si>
    <t>Danbolig Svogerslev-Lejre</t>
  </si>
  <si>
    <t>Brønsager 1</t>
  </si>
  <si>
    <t>svogerslev-lejre@danbolig.dk</t>
  </si>
  <si>
    <t>https://www.boliga.dk/maegler/25005</t>
  </si>
  <si>
    <t>4050, 4060, 4330, 4070, 4360, 4320</t>
  </si>
  <si>
    <t>4330, 4070, 4060, 4320</t>
  </si>
  <si>
    <t>danbolig Per Johansen BoligCenter A/S</t>
  </si>
  <si>
    <t>Per Johansen</t>
  </si>
  <si>
    <t>Tune Center 12B</t>
  </si>
  <si>
    <t>4030, 4621</t>
  </si>
  <si>
    <t>4030, 4652, 4621, 4060, 4050</t>
  </si>
  <si>
    <t>2670, 4621, 4030, 2680, 2635</t>
  </si>
  <si>
    <t>danbolig Ringsted</t>
  </si>
  <si>
    <t>Vest- og Sydsjælland</t>
  </si>
  <si>
    <t>4100, 4171, 4173, 4174, 4370</t>
  </si>
  <si>
    <t>4600, 4171, 4100, 4130</t>
  </si>
  <si>
    <t>2650, 4622, 4173, 4171, 4100</t>
  </si>
  <si>
    <t>danbolig Viby Sj.</t>
  </si>
  <si>
    <t>Søren Jagd Lauritsen</t>
  </si>
  <si>
    <t>4130, 4320</t>
  </si>
  <si>
    <t>danbolig Borup</t>
  </si>
  <si>
    <t>4140, 4623, 4632</t>
  </si>
  <si>
    <t>4140, 4632, 4623</t>
  </si>
  <si>
    <t>4140, 4632, 4623, 4100</t>
  </si>
  <si>
    <t>danbolig Sorø</t>
  </si>
  <si>
    <t>4180, 4190, 4291, 4293, 4295, 4296</t>
  </si>
  <si>
    <t>4250, 4180, 4293, 4291, 4295, 4350</t>
  </si>
  <si>
    <t>4296, 4180, 4293, 4291, 4190, 4295, 4550</t>
  </si>
  <si>
    <t>Nybolig Slagelse A/S</t>
  </si>
  <si>
    <t>Peter Valentin</t>
  </si>
  <si>
    <t>Rosengade 11</t>
  </si>
  <si>
    <t>4200, 4270, 4281, 4230, 4242, 4261, 4243, 4244, 4245</t>
  </si>
  <si>
    <t>4200, 4281, 4241, 4270</t>
  </si>
  <si>
    <t>4241, 4200</t>
  </si>
  <si>
    <t>4243, 4242, 4230, 4200, 4262, 4244, 4245, 4261</t>
  </si>
  <si>
    <t>4243, 4250, 4242, 4230, 4245, 4262, 4244, 4261</t>
  </si>
  <si>
    <t>danbolig Holbæk - Henrik Larsen A/S</t>
  </si>
  <si>
    <t>Henrik Larsen</t>
  </si>
  <si>
    <t>Tlf.: 5944 1112</t>
  </si>
  <si>
    <t>4300, 4305, 4340, 4350, 4360, 4370, 4390, 4440, 4420, 4450, 4520, 4532, 4534</t>
  </si>
  <si>
    <t>4370, 4300, 4180, 3630, 4420, 4070, 4305, 4540, 4460, 4390, 4350, 4534, 4500, 4340, 4360, 4400, 4550, 4520, 4450, 4440, 4560, 4532, 4571</t>
  </si>
  <si>
    <t>4060, 4070, 4305, 4540, 4420, 4300, 4350, 4534, 4460, 4340, 4360, 4390, 4550, 4520, 4450, 4440, 4571, 4573, 4583, 4532</t>
  </si>
  <si>
    <t>danbolig Kalundborg</t>
  </si>
  <si>
    <t>Thomas Parsner</t>
  </si>
  <si>
    <t>4400, 4460, 4470, 4480, 4490, 4591, 4593</t>
  </si>
  <si>
    <t>4490, 4470, 4480, 4281, 4592, 4400, 4593</t>
  </si>
  <si>
    <t>4490, 4400, 4480, 4281, 4591, 4593</t>
  </si>
  <si>
    <t>danbolig Nykøbing Sjælland</t>
  </si>
  <si>
    <t>Dennis Høilund</t>
  </si>
  <si>
    <t>Trykkergården, Vesterbro 1</t>
  </si>
  <si>
    <t>Nykøbing Sj.</t>
  </si>
  <si>
    <t>Odsherred</t>
  </si>
  <si>
    <t>4500, 4560, 4572, 4573, 4581, 4583</t>
  </si>
  <si>
    <t>4572, 4500, 4583</t>
  </si>
  <si>
    <t>4500, 4581, 4583</t>
  </si>
  <si>
    <t>danbolig Asnæs Sven Øvre</t>
  </si>
  <si>
    <t>Sven Øvre</t>
  </si>
  <si>
    <t>4540, 4550, 4571</t>
  </si>
  <si>
    <t>4571, 4300, 4573, 4500, 4550, 4534, 4540</t>
  </si>
  <si>
    <t>4571, 4300, 4550, 4500, 4534, 4540</t>
  </si>
  <si>
    <t>danbolig Højby - Ellinge Lyng</t>
  </si>
  <si>
    <t>4573, 4560, 4500, 4550, 4571</t>
  </si>
  <si>
    <t>4573, 4560, 4520, 4550</t>
  </si>
  <si>
    <t>danbolig Køge</t>
  </si>
  <si>
    <t>Tlf.: 5666 2000</t>
  </si>
  <si>
    <t>4600, 4681, 4682</t>
  </si>
  <si>
    <t>2630, 4623, 4681, 4600, 4682</t>
  </si>
  <si>
    <t>4600, 4623, 4681, 4671, 4682</t>
  </si>
  <si>
    <t>danbolig Faxe</t>
  </si>
  <si>
    <t>4640, 4653, 4654</t>
  </si>
  <si>
    <t>4654, 4640, 4683, 4653</t>
  </si>
  <si>
    <t>4654, 4640, 4653</t>
  </si>
  <si>
    <t>danbolig Stevns</t>
  </si>
  <si>
    <t>Stevns</t>
  </si>
  <si>
    <t>4652, 4660, 4671, 4672, 4673</t>
  </si>
  <si>
    <t>4671, 4652, 4672, 4660, 4673</t>
  </si>
  <si>
    <t>danbolig Haslev</t>
  </si>
  <si>
    <t>4683, 469</t>
  </si>
  <si>
    <t>4683, 4700, 4690</t>
  </si>
  <si>
    <t>4683, 4682, 4230, 4690</t>
  </si>
  <si>
    <t>danbolig Næstved – Allan Hansen</t>
  </si>
  <si>
    <t>Allan Hansen</t>
  </si>
  <si>
    <t>Banegårdspladsen 3</t>
  </si>
  <si>
    <t>Næstved</t>
  </si>
  <si>
    <t>5573 7100</t>
  </si>
  <si>
    <t>naestved@danbolig.dk</t>
  </si>
  <si>
    <t>https://www.boliga.dk/maegler/399</t>
  </si>
  <si>
    <t>4160, 4250, 4262, 4684, 4700, 4736</t>
  </si>
  <si>
    <t>4736, 4700, 4160, 4733, 4684, 4250</t>
  </si>
  <si>
    <t>4736, 4700, 4160, 4250, 4684, 4750</t>
  </si>
  <si>
    <t>danbolig Præstø</t>
  </si>
  <si>
    <t>4720, 4733</t>
  </si>
  <si>
    <t>4733, 4720, 4750, 4735</t>
  </si>
  <si>
    <t>4733, 4760, 4750, 4720, 4735, 4960</t>
  </si>
  <si>
    <t>danbolig Vordingborg</t>
  </si>
  <si>
    <t>Trine Kildemark Olsen</t>
  </si>
  <si>
    <t>Prins Jørgens Alle 6</t>
  </si>
  <si>
    <t>4735, 4750, 4760, 4771-4773</t>
  </si>
  <si>
    <t>4720, 4772, 4773, 4735, 4771, 4760, 4750</t>
  </si>
  <si>
    <t>4733, 4773, 4771, 4700, 4735, 4684, 4760, 4772, 4750</t>
  </si>
  <si>
    <t>danbolig Møn</t>
  </si>
  <si>
    <t>4780, 4791-4793</t>
  </si>
  <si>
    <t>4780, 4791, 4792, 4793</t>
  </si>
  <si>
    <t>4780, 4791, 4793</t>
  </si>
  <si>
    <t>home Nykøbing Falster</t>
  </si>
  <si>
    <t>Brovejen 10</t>
  </si>
  <si>
    <t>Nykøbing F.</t>
  </si>
  <si>
    <t>Guldborgsund</t>
  </si>
  <si>
    <t>54 84 40 00</t>
  </si>
  <si>
    <t>220@home.dk</t>
  </si>
  <si>
    <t>https://www.boliga.dk/maegler/967</t>
  </si>
  <si>
    <t>4800, 4840, 4850, 4862, 4863, 4871, 4872, 4873, 4874, 4880, 4891, 4892, 4894, 4895, 4900, 4912, 4913, 4920, 4930, 4941, 4942, 4943, 4944, 4945, 4951, 4952, 4953, 4960, 4970, 4983, 4990</t>
  </si>
  <si>
    <t>4894, 4891, 4850, 4800, 4872, 4874, 4871</t>
  </si>
  <si>
    <t>4863, 4800, 4873, 4874, 4840</t>
  </si>
  <si>
    <t>home Marielyst</t>
  </si>
  <si>
    <t>Marielyst Strandvej 40</t>
  </si>
  <si>
    <t>Væggerløse</t>
  </si>
  <si>
    <t>54 84 40 20</t>
  </si>
  <si>
    <t>221@home.dk</t>
  </si>
  <si>
    <t>https://www.boliga.dk/maegler/823</t>
  </si>
  <si>
    <t>4874, 4872, 4873</t>
  </si>
  <si>
    <t>home Nysted</t>
  </si>
  <si>
    <t>Adelgade 22 A</t>
  </si>
  <si>
    <t>Nysted</t>
  </si>
  <si>
    <t>54 84 40 30</t>
  </si>
  <si>
    <t>223@home.dk</t>
  </si>
  <si>
    <t>https://www.boliga.dk/maegler/450</t>
  </si>
  <si>
    <t>4892, 4894, 4990, 4880</t>
  </si>
  <si>
    <t>4892, 4862, 4990, 4880</t>
  </si>
  <si>
    <t>home Lolland</t>
  </si>
  <si>
    <t>Vestergade 9</t>
  </si>
  <si>
    <t>Maribo</t>
  </si>
  <si>
    <t>Lolland</t>
  </si>
  <si>
    <t>54 84 40 50</t>
  </si>
  <si>
    <t>217@home.dk</t>
  </si>
  <si>
    <t>https://www.boliga.dk/maegler/975</t>
  </si>
  <si>
    <t>4900, 4920, 4943, 4912, 4913, 4930, 4951, 4970, 4945, 4952</t>
  </si>
  <si>
    <t>4960, 4920, 4953, 4930, 4941, 4970, 4983</t>
  </si>
  <si>
    <t>Nybolig Maribo og Rødby</t>
  </si>
  <si>
    <t>Østergade 48, st.</t>
  </si>
  <si>
    <t>5475 6111</t>
  </si>
  <si>
    <t>4930@nybolig.dk</t>
  </si>
  <si>
    <t>https://www.boliga.dk/maegler/62</t>
  </si>
  <si>
    <t>4895, 4900, 4912, 4913, 4920, 4930, 4941, 4942, 4943, 4944, 4945, 4951, 4952, 4953, 4960, 4970, 4983</t>
  </si>
  <si>
    <t>4862, 4895, 4900, 4800, 4930, 4920, 4942, 4894, 4941, 4990, 4960, 4873, 4944, 4943, 4970, 4951</t>
  </si>
  <si>
    <t>4930, 4895, 4900, 4944, 4941, 4953, 4942, 4892, 4960, 4990, 4983, 4952, 4951, 4970</t>
  </si>
  <si>
    <t>Nybolig Rødby - Lalandia</t>
  </si>
  <si>
    <t>Lalandia Centret 1</t>
  </si>
  <si>
    <t>Rødby</t>
  </si>
  <si>
    <t>4970@nybolig.dk</t>
  </si>
  <si>
    <t>https://www.boliga.dk/maegler/20174</t>
  </si>
  <si>
    <t>Danbolig Odense - Lejlighedsbutikken</t>
  </si>
  <si>
    <t>Tore Wiben</t>
  </si>
  <si>
    <t>Jernbanegade 28</t>
  </si>
  <si>
    <t>Odense</t>
  </si>
  <si>
    <t>Syddanmark</t>
  </si>
  <si>
    <t>5000, 5200, 5210, 5220, 5230, 5240, 5250, 5260, 5270, 5290, 5300, 5320, 5330, 5370, 5380, 5390, 5400, 5450, 5462, 5471, 5474, 5485, 5491, 5550</t>
  </si>
  <si>
    <t>5200, 5250, 5230, 5000, 5260</t>
  </si>
  <si>
    <t>5230, 5210, 5000, 5250</t>
  </si>
  <si>
    <t>danbolig Odense C</t>
  </si>
  <si>
    <t>Henrik Vedel Egetoft Pilegaard</t>
  </si>
  <si>
    <t>5000, 5240, 5300, 5320, 5330, 5370, 5380, 5390</t>
  </si>
  <si>
    <t>5240, 5330, 5300, 5000, 5370, 5320</t>
  </si>
  <si>
    <t>5240, 5390, 5300, 5000, 5330, 5320, 5370, 5380</t>
  </si>
  <si>
    <t>danbolig Odense Tarup</t>
  </si>
  <si>
    <t>Sebastian Rasmussen</t>
  </si>
  <si>
    <t>5200, 5210, 5270, 5400, 5450, 5462, 5471, 5474, 5485, 5491</t>
  </si>
  <si>
    <t>5471, 5270, 5210, 5485, 5450, 5200</t>
  </si>
  <si>
    <t>5471, 5200, 5210, 5270</t>
  </si>
  <si>
    <t>danbolig Odense - Dalum</t>
  </si>
  <si>
    <t>Søren Simonsen</t>
  </si>
  <si>
    <t>5230, 525</t>
  </si>
  <si>
    <t>5230, 5250</t>
  </si>
  <si>
    <t>5230, 5250, 5690</t>
  </si>
  <si>
    <t>danbolig Odense - Hjallese</t>
  </si>
  <si>
    <t>Adam Arildsen</t>
  </si>
  <si>
    <t>5220, 5230, 5260, 5290, 5550</t>
  </si>
  <si>
    <t>5260, 5550, 5220, 5290, 5792</t>
  </si>
  <si>
    <t>5260, 5550, 5230, 5220, 5290, 5792</t>
  </si>
  <si>
    <t>Nybolig Middelfart</t>
  </si>
  <si>
    <t>Havnegade 3 B</t>
  </si>
  <si>
    <t>Middelfart</t>
  </si>
  <si>
    <t>6441 5565</t>
  </si>
  <si>
    <t>5500@nybolig.dk</t>
  </si>
  <si>
    <t>https://www.boliga.dk/maegler/79</t>
  </si>
  <si>
    <t>5463, 5464, 5466, 5500, 5580, 5591, 5592</t>
  </si>
  <si>
    <t>5464, 5500, 5591, 5463, 5592, 5580, 7000</t>
  </si>
  <si>
    <t>5500, 5464, 5580, 5591, 5592, 7000</t>
  </si>
  <si>
    <t>danbolig Faaborg</t>
  </si>
  <si>
    <t>Søren Lykkegaard</t>
  </si>
  <si>
    <t>Faaborg-Midtfyn</t>
  </si>
  <si>
    <t>5600, 5642, 5672, 5690, 5601, 5602, 5603, 5750, 5772, 5856, 5854, 5792, 5863</t>
  </si>
  <si>
    <t>5672, 5492, 5953, 5600, 5892</t>
  </si>
  <si>
    <t>5690, 5600</t>
  </si>
  <si>
    <t>danbolig Morten Nørregaard</t>
  </si>
  <si>
    <t>Østergade 18</t>
  </si>
  <si>
    <t>Assens</t>
  </si>
  <si>
    <t>assens@danbolig.dk</t>
  </si>
  <si>
    <t>https://www.boliga.dk/maegler/17855</t>
  </si>
  <si>
    <t>5492, 5560, 5610, 5620, 5631, 5683</t>
  </si>
  <si>
    <t>5690, 5463, 5620, 5560, 5591, 5592, 5492, 5683, 5610, 5631</t>
  </si>
  <si>
    <t>5620, 5560, 5250, 5474, 5492, 5683, 5690, 5792, 5610</t>
  </si>
  <si>
    <t>danbolig Dreyer</t>
  </si>
  <si>
    <t>Claus Dreyer</t>
  </si>
  <si>
    <t>5700, 5762, 5771, 5874, 5881-5884, 5892</t>
  </si>
  <si>
    <t>5762, 5600, 5700, 5882, 5892, 5771, 5874, 5881, 5884</t>
  </si>
  <si>
    <t>5762, 5771, 5700, 5882, 5892, 5884, 5953</t>
  </si>
  <si>
    <t>danbolig Ringe</t>
  </si>
  <si>
    <t>5750, 5772, 5792, 5854, 5856, 5863</t>
  </si>
  <si>
    <t>5750, 5792, 5771, 5854, 5550, 5856, 5853, 5863, 5772</t>
  </si>
  <si>
    <t>5750, 5853, 5672, 2100, 5772, 5854, 5871, 5220, 5350, 5792, 5856, 5863</t>
  </si>
  <si>
    <t>danbolig Langeland</t>
  </si>
  <si>
    <t>Johnny Didriksen</t>
  </si>
  <si>
    <t>Ørstedsgade 5</t>
  </si>
  <si>
    <t>Langeland</t>
  </si>
  <si>
    <t>5900, 5932, 5935, 5943, 5953</t>
  </si>
  <si>
    <t>5935, 5900, 5953, 5932</t>
  </si>
  <si>
    <t>5900, 5935, 5943, 5953, 5932</t>
  </si>
  <si>
    <t>danbolig Haderslev</t>
  </si>
  <si>
    <t>Susanne P. Linnet</t>
  </si>
  <si>
    <t>Sydjylland</t>
  </si>
  <si>
    <t>6094, 6070, 6100</t>
  </si>
  <si>
    <t>6094, 6070, 6792, 6100</t>
  </si>
  <si>
    <t>Nybolig Aabenraa</t>
  </si>
  <si>
    <t>Madevej 13 A</t>
  </si>
  <si>
    <t>Aabenraa</t>
  </si>
  <si>
    <t>7462 8222</t>
  </si>
  <si>
    <t>6200@nybolig.dk</t>
  </si>
  <si>
    <t>https://www.boliga.dk/maegler/174</t>
  </si>
  <si>
    <t>6200, 6230, 6360, 6390</t>
  </si>
  <si>
    <t>6100, 6200, 6230, 6534</t>
  </si>
  <si>
    <t>6360, 6200, 6392, 6372, 6230</t>
  </si>
  <si>
    <t>Nybolig Gråsten</t>
  </si>
  <si>
    <t>Nygade 11, st.</t>
  </si>
  <si>
    <t>Gråsten</t>
  </si>
  <si>
    <t>Sønderborg</t>
  </si>
  <si>
    <t>6300@nybolig.dk</t>
  </si>
  <si>
    <t>https://www.boliga.dk/maegler/26350</t>
  </si>
  <si>
    <t>6300, 6320, 6330, 6340</t>
  </si>
  <si>
    <t>Nybolig Sønderborg</t>
  </si>
  <si>
    <t>Alsgade 58</t>
  </si>
  <si>
    <t>7443 4310</t>
  </si>
  <si>
    <t>6400@nybolig.dk</t>
  </si>
  <si>
    <t>https://www.boliga.dk/maegler/584</t>
  </si>
  <si>
    <t>6310, 6400, 6430, 6440, 6470</t>
  </si>
  <si>
    <t>6310, 6470, 6400, 6440</t>
  </si>
  <si>
    <t>6430, 6300, 6320, 6310, 6470, 6400, 6440</t>
  </si>
  <si>
    <t>danbolig Hjørring</t>
  </si>
  <si>
    <t>Kristian Rask</t>
  </si>
  <si>
    <t>Nordjylland</t>
  </si>
  <si>
    <t>9480, 9760, 9800, 9850, 9870</t>
  </si>
  <si>
    <t>9480, 9981, 9830, 9850, 9760, 9870, 9800</t>
  </si>
  <si>
    <t>9900, 9760, 9480, 9850, 9990, 9800, 9830, 9870</t>
  </si>
  <si>
    <t>Anders Svenningsen</t>
  </si>
  <si>
    <t>Randersvej 61A</t>
  </si>
  <si>
    <t>Hobro</t>
  </si>
  <si>
    <t>Mariagerfjord</t>
  </si>
  <si>
    <t>hobro@danbolig.dk</t>
  </si>
  <si>
    <t>9500, 9550, 9560</t>
  </si>
  <si>
    <t>8990, 9500, 9550, 9560</t>
  </si>
  <si>
    <t>danbolig Randers</t>
  </si>
  <si>
    <t>Martin Jacobsen</t>
  </si>
  <si>
    <t>Søndergade 3-5</t>
  </si>
  <si>
    <t>Randers</t>
  </si>
  <si>
    <t>8900, 8920, 8930, 8940, 8960, 8870, 8981</t>
  </si>
  <si>
    <t>8940, 8900, 8370, 8870, 8983, 8930, 8920, 8970, 8960, 8981, 8990</t>
  </si>
  <si>
    <t>8940, 8900, 8920, 8870, 8983, 8930, 8960, 8990, 8981</t>
  </si>
  <si>
    <t>danbolig Vejle</t>
  </si>
  <si>
    <t>Frank Bruun</t>
  </si>
  <si>
    <t>Dæmningen 64 og 72</t>
  </si>
  <si>
    <t>Vejle</t>
  </si>
  <si>
    <t>Tlf.: 7572 4444</t>
  </si>
  <si>
    <t>Vejle@DanBolig.dk</t>
  </si>
  <si>
    <t>https://www.boliga.dk/maegler/394</t>
  </si>
  <si>
    <t>7100, 712</t>
  </si>
  <si>
    <t>7000, 7183, 7100, 6040, 7160, 7182, 7300, 7080, 8722, 7120, 7173, 8723</t>
  </si>
  <si>
    <t>7100, 6040, 7140, 8722, 7323, 7182, 7120</t>
  </si>
  <si>
    <t>Nybolig Grindsted</t>
  </si>
  <si>
    <t>Borgergade 33</t>
  </si>
  <si>
    <t>Grindsted</t>
  </si>
  <si>
    <t>Billund</t>
  </si>
  <si>
    <t>7651 9400</t>
  </si>
  <si>
    <t>7200@nybolig.dk</t>
  </si>
  <si>
    <t>https://www.boliga.dk/maegler/592</t>
  </si>
  <si>
    <t>6623, 7184, 7190, 7200, 7250, 7260</t>
  </si>
  <si>
    <t>6823, 7250, 7200, 6623, 7260</t>
  </si>
  <si>
    <t>7250, 7200, 6623</t>
  </si>
  <si>
    <t>danbolig Holstebro</t>
  </si>
  <si>
    <t>Alexander Christensen</t>
  </si>
  <si>
    <t>Helgolandsgade 20 st.</t>
  </si>
  <si>
    <t>Vestjylland</t>
  </si>
  <si>
    <t>70 25 02 22</t>
  </si>
  <si>
    <t>7560, 7490, 7540, 7600, 7500</t>
  </si>
  <si>
    <t>Salg &amp; vurdering, Indehaver, Vurderingskonsulent for Totalkredit</t>
  </si>
  <si>
    <t>M.P. Bruuns Gade 13</t>
  </si>
  <si>
    <t>Aarhus C</t>
  </si>
  <si>
    <t>8617 4700</t>
  </si>
  <si>
    <t>aarhus-city@danbolig.dk</t>
  </si>
  <si>
    <t>8000-8100, 8200</t>
  </si>
  <si>
    <t>Nybolig Bruuns Bro Lejligheder</t>
  </si>
  <si>
    <t>M.P. Bruuns Gade 3</t>
  </si>
  <si>
    <t>8617 4011</t>
  </si>
  <si>
    <t>8001@nybolig.dk</t>
  </si>
  <si>
    <t>https://www.boliga.dk/maegler/1004</t>
  </si>
  <si>
    <t>8000, 8200, 8210, 8220, 8230, 8641, 8462, 8464, 8670</t>
  </si>
  <si>
    <t>8260, 8200, 8000</t>
  </si>
  <si>
    <t>8000, 8240</t>
  </si>
  <si>
    <t>Birgitte Agerskov Bro</t>
  </si>
  <si>
    <t>Tordenskjoldsgade 37</t>
  </si>
  <si>
    <t>Aarhus N</t>
  </si>
  <si>
    <t>8610 8666</t>
  </si>
  <si>
    <t>aarhus-nord@danbolig.dk</t>
  </si>
  <si>
    <t>8000, 8200</t>
  </si>
  <si>
    <t>Nybolig Galten - Skovby - Harlev</t>
  </si>
  <si>
    <t>Søndergade 19a</t>
  </si>
  <si>
    <t>Galten</t>
  </si>
  <si>
    <t>Skanderborg</t>
  </si>
  <si>
    <t>8694 4848</t>
  </si>
  <si>
    <t>8464@nybolig.dk</t>
  </si>
  <si>
    <t>https://www.boliga.dk/maegler/20552</t>
  </si>
  <si>
    <t>8462, 8464, 8883, 8450, 8670, 8641</t>
  </si>
  <si>
    <t>8462, 8464, 8670</t>
  </si>
  <si>
    <t>danbolig Bent Kohls</t>
  </si>
  <si>
    <t>Yvonne Kohls</t>
  </si>
  <si>
    <t>Nytorv 2</t>
  </si>
  <si>
    <t>Viborg</t>
  </si>
  <si>
    <t>7025 0222</t>
  </si>
  <si>
    <t>Viborg@DanBolig.dk</t>
  </si>
  <si>
    <t>https://www.boliga.dk/maegler/18114</t>
  </si>
  <si>
    <t>7470, 7840, 8800, 8831, 7850, 8832, 8830</t>
  </si>
  <si>
    <t>8620, 7470, 6990, 7500, 8831, 8830, 8832, 8800, 9500, 9632</t>
  </si>
  <si>
    <t>Din Mægler Aalborg</t>
  </si>
  <si>
    <t>Hadsundvej 5</t>
  </si>
  <si>
    <t>Aalborg</t>
  </si>
  <si>
    <t>info@dmbolig.dk</t>
  </si>
  <si>
    <t>https://www.boliga.dk/maegler/20139</t>
  </si>
  <si>
    <t>9270, 9380, 9381</t>
  </si>
  <si>
    <t>9270, 9400, 9280, 9200, 9000, 9210</t>
  </si>
  <si>
    <t>9440, 9310, 9200, 9400, 9000, 9210, 9220, 9320</t>
  </si>
  <si>
    <t>Ejendomsmægler Thorkild Kristensen A/S</t>
  </si>
  <si>
    <t>Thorkild Kristensen</t>
  </si>
  <si>
    <t>Hasserisvej 143</t>
  </si>
  <si>
    <t>tk@thorkild-kristensen.dk</t>
  </si>
  <si>
    <t>https://www.boliga.dk/maegler/17122</t>
  </si>
  <si>
    <t>9000-9200, 9210, 9220, 9230, 9240, 9260, 9310, 9400, 9430, 9490, 9492, 9493</t>
  </si>
  <si>
    <t>9330, 9370</t>
  </si>
  <si>
    <t>Ejendomsmægler Thorkild Kristensen Aalborg A/S</t>
  </si>
  <si>
    <t>Østre Havnepromenade 22</t>
  </si>
  <si>
    <t>aalborg@thorkildkristensen.dk</t>
  </si>
  <si>
    <t>https://www.boliga.dk/maegler/17123</t>
  </si>
  <si>
    <t>Din mægler Nørresundby</t>
  </si>
  <si>
    <t>Tinghusgade 1</t>
  </si>
  <si>
    <t>Nørresundby</t>
  </si>
  <si>
    <t>https://www.boliga.dk/maegler/23933</t>
  </si>
  <si>
    <t>Ejendomsmægler Thorkild Kristensen Blokhus</t>
  </si>
  <si>
    <t>Aalborgvej 9</t>
  </si>
  <si>
    <t>Blokhus</t>
  </si>
  <si>
    <t>Jammerbugt</t>
  </si>
  <si>
    <t>blokhus@thorkild-kristensen.dk</t>
  </si>
  <si>
    <t>https://www.boliga.dk/maegler/17127</t>
  </si>
  <si>
    <t>9700, 9460, 9800, 9440, 9480</t>
  </si>
  <si>
    <t>Nybolig Hobro</t>
  </si>
  <si>
    <t>Adelgade 88</t>
  </si>
  <si>
    <t>9851 1700</t>
  </si>
  <si>
    <t>9500@nybolig.dk</t>
  </si>
  <si>
    <t>https://www.boliga.dk/maegler/988</t>
  </si>
  <si>
    <t>8990, 9500, 9510, 9550, 9610</t>
  </si>
  <si>
    <t>9610, 9632, 9500, 9510, 9620, 8990, 9550, 9574</t>
  </si>
  <si>
    <t>9610, 9510, 9500, 8990, 9620</t>
  </si>
  <si>
    <t>matilde.oersted@danbolig.dk</t>
  </si>
  <si>
    <t>pah@mailreal.dk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</si>
</sst>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yy"/>
    <numFmt numFmtId="165" formatCode="dd\-mm\-yyyy"/>
  </numFmts>
  <fonts count="23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1"/>
      <color rgb="FF1D1C1D"/>
      <name val="Slack-Lato"/>
    </font>
    <font>
      <b/>
      <sz val="11"/>
      <color rgb="FF000000"/>
      <name val="Calibri"/>
    </font>
    <font>
      <b/>
      <sz val="12"/>
      <color theme="1"/>
      <name val="Calibri"/>
    </font>
    <font>
      <b/>
      <sz val="10"/>
      <color rgb="FF000000"/>
      <name val="Arial"/>
      <scheme val="minor"/>
    </font>
    <font>
      <sz val="11"/>
      <color rgb="FF000000"/>
      <name val="Calibri"/>
    </font>
    <font>
      <sz val="11"/>
      <color rgb="FF000000"/>
      <name val="Docs-Calibri"/>
    </font>
    <font>
      <u/>
      <sz val="11"/>
      <color rgb="FF000000"/>
      <name val="Calibri"/>
    </font>
    <font>
      <u/>
      <sz val="11"/>
      <color rgb="FF000000"/>
      <name val="Calibri"/>
    </font>
    <font>
      <sz val="10"/>
      <color rgb="FF000000"/>
      <name val="Arial"/>
    </font>
    <font>
      <u/>
      <sz val="10"/>
      <color rgb="FF0000FF"/>
      <name val="Arial"/>
    </font>
    <font>
      <u/>
      <sz val="11"/>
      <color rgb="FF000000"/>
      <name val="Calibri"/>
    </font>
    <font>
      <sz val="6"/>
      <color rgb="FF000000"/>
      <name val="Calibri"/>
    </font>
    <font>
      <u/>
      <sz val="11"/>
      <color rgb="FF1155CC"/>
      <name val="Calibri"/>
    </font>
    <font>
      <u/>
      <sz val="11"/>
      <color rgb="FF0000FF"/>
      <name val="Calibri"/>
    </font>
    <font>
      <u/>
      <sz val="11"/>
      <color rgb="FF0563C1"/>
      <name val="Calibri"/>
    </font>
    <font>
      <sz val="7"/>
      <color rgb="FF000000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1"/>
      <color rgb="FF000000"/>
      <name val="Calibri"/>
    </font>
    <font>
      <sz val="11"/>
      <color rgb="FF006100"/>
      <name val="Calibri"/>
    </font>
    <font>
      <sz val="10"/>
      <color rgb="FF252525"/>
      <name val="Arial"/>
    </font>
  </fonts>
  <fills count="9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/>
    <xf numFmtId="0" fontId="3" fillId="4" borderId="0" xfId="0" applyFont="1" applyFill="1" applyAlignment="1"/>
    <xf numFmtId="0" fontId="3" fillId="4" borderId="0" xfId="0" applyFont="1" applyFill="1" applyAlignment="1">
      <alignment wrapText="1"/>
    </xf>
    <xf numFmtId="0" fontId="4" fillId="4" borderId="0" xfId="0" applyFont="1" applyFill="1" applyAlignment="1">
      <alignment horizontal="right" wrapText="1"/>
    </xf>
    <xf numFmtId="0" fontId="4" fillId="4" borderId="0" xfId="0" applyFont="1" applyFill="1" applyAlignment="1">
      <alignment wrapText="1"/>
    </xf>
    <xf numFmtId="0" fontId="3" fillId="4" borderId="0" xfId="0" applyFont="1" applyFill="1" applyAlignment="1">
      <alignment horizontal="right" wrapText="1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left" wrapText="1"/>
    </xf>
    <xf numFmtId="0" fontId="5" fillId="5" borderId="0" xfId="0" applyFont="1" applyFill="1" applyAlignment="1"/>
    <xf numFmtId="0" fontId="5" fillId="5" borderId="0" xfId="0" applyFont="1" applyFill="1" applyAlignment="1">
      <alignment wrapText="1"/>
    </xf>
    <xf numFmtId="0" fontId="5" fillId="6" borderId="0" xfId="0" applyFont="1" applyFill="1" applyAlignment="1"/>
    <xf numFmtId="0" fontId="5" fillId="7" borderId="0" xfId="0" applyFont="1" applyFill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4" fontId="1" fillId="0" borderId="0" xfId="0" applyNumberFormat="1" applyFont="1"/>
    <xf numFmtId="0" fontId="1" fillId="0" borderId="0" xfId="0" applyFont="1" applyAlignment="1">
      <alignment wrapText="1"/>
    </xf>
    <xf numFmtId="0" fontId="9" fillId="0" borderId="0" xfId="0" applyFont="1" applyAlignment="1"/>
    <xf numFmtId="0" fontId="6" fillId="0" borderId="0" xfId="0" applyFont="1" applyAlignment="1"/>
    <xf numFmtId="0" fontId="10" fillId="0" borderId="0" xfId="0" applyFont="1" applyAlignment="1"/>
    <xf numFmtId="0" fontId="6" fillId="0" borderId="0" xfId="0" applyFont="1" applyAlignment="1"/>
    <xf numFmtId="0" fontId="11" fillId="0" borderId="0" xfId="0" applyFont="1"/>
    <xf numFmtId="165" fontId="1" fillId="0" borderId="0" xfId="0" applyNumberFormat="1" applyFont="1"/>
    <xf numFmtId="164" fontId="1" fillId="0" borderId="0" xfId="0" applyNumberFormat="1" applyFont="1"/>
    <xf numFmtId="11" fontId="1" fillId="0" borderId="0" xfId="0" applyNumberFormat="1" applyFont="1"/>
    <xf numFmtId="0" fontId="3" fillId="8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6" fillId="8" borderId="0" xfId="0" applyFont="1" applyFill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left" vertical="top"/>
    </xf>
    <xf numFmtId="0" fontId="6" fillId="8" borderId="0" xfId="0" applyFont="1" applyFill="1" applyAlignment="1">
      <alignment horizontal="left" vertical="top"/>
    </xf>
    <xf numFmtId="0" fontId="6" fillId="8" borderId="0" xfId="0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2" fillId="8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0" fillId="0" borderId="0" xfId="0" applyFont="1" applyAlignment="1"/>
    <xf numFmtId="0" fontId="19" fillId="0" borderId="0" xfId="0" applyFont="1" applyAlignment="1">
      <alignment horizontal="left" vertical="top"/>
    </xf>
    <xf numFmtId="165" fontId="10" fillId="0" borderId="0" xfId="0" applyNumberFormat="1" applyFont="1" applyAlignment="1">
      <alignment horizontal="left" vertical="top"/>
    </xf>
    <xf numFmtId="0" fontId="10" fillId="8" borderId="0" xfId="0" applyFont="1" applyFill="1" applyAlignment="1">
      <alignment horizontal="left" vertical="top"/>
    </xf>
    <xf numFmtId="164" fontId="10" fillId="0" borderId="0" xfId="0" applyNumberFormat="1" applyFont="1" applyAlignment="1">
      <alignment horizontal="left" vertical="top"/>
    </xf>
    <xf numFmtId="0" fontId="6" fillId="8" borderId="0" xfId="0" applyFont="1" applyFill="1" applyAlignment="1">
      <alignment horizontal="left"/>
    </xf>
    <xf numFmtId="0" fontId="6" fillId="0" borderId="0" xfId="0" applyFont="1" applyAlignment="1">
      <alignment vertical="top"/>
    </xf>
    <xf numFmtId="0" fontId="10" fillId="0" borderId="0" xfId="0" applyFont="1" applyAlignment="1"/>
    <xf numFmtId="0" fontId="10" fillId="8" borderId="0" xfId="0" applyFont="1" applyFill="1" applyAlignment="1">
      <alignment horizontal="left"/>
    </xf>
    <xf numFmtId="0" fontId="20" fillId="0" borderId="0" xfId="0" applyFont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7" borderId="0" xfId="0" applyFont="1" applyFill="1" applyAlignment="1"/>
    <xf numFmtId="0" fontId="10" fillId="6" borderId="0" xfId="0" applyFont="1" applyFill="1" applyAlignment="1"/>
    <xf numFmtId="0" fontId="6" fillId="6" borderId="0" xfId="0" applyFont="1" applyFill="1" applyAlignment="1"/>
    <xf numFmtId="0" fontId="10" fillId="6" borderId="0" xfId="0" applyFont="1" applyFill="1" applyAlignment="1"/>
    <xf numFmtId="0" fontId="10" fillId="6" borderId="0" xfId="0" applyFont="1" applyFill="1" applyAlignment="1"/>
    <xf numFmtId="0" fontId="6" fillId="6" borderId="0" xfId="0" applyFont="1" applyFill="1" applyAlignment="1">
      <alignment horizontal="left" vertical="top"/>
    </xf>
    <xf numFmtId="0" fontId="6" fillId="6" borderId="0" xfId="0" applyFont="1" applyFill="1" applyAlignment="1">
      <alignment horizontal="left" vertical="top"/>
    </xf>
    <xf numFmtId="0" fontId="6" fillId="6" borderId="0" xfId="0" applyFont="1" applyFill="1" applyAlignment="1">
      <alignment horizontal="left" vertical="top"/>
    </xf>
    <xf numFmtId="0" fontId="10" fillId="6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21" fillId="2" borderId="0" xfId="0" applyFont="1" applyFill="1" applyAlignment="1"/>
    <xf numFmtId="0" fontId="21" fillId="2" borderId="0" xfId="0" applyFont="1" applyFill="1" applyAlignment="1"/>
    <xf numFmtId="0" fontId="21" fillId="2" borderId="0" xfId="0" applyFont="1" applyFill="1" applyAlignment="1">
      <alignment horizontal="left"/>
    </xf>
    <xf numFmtId="0" fontId="22" fillId="0" borderId="0" xfId="0" applyFont="1" applyAlignment="1"/>
    <xf numFmtId="3" fontId="6" fillId="0" borderId="0" xfId="0" applyNumberFormat="1" applyFont="1" applyAlignment="1">
      <alignment horizontal="left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oliga.dk/maegler/303" TargetMode="External"/><Relationship Id="rId18" Type="http://schemas.openxmlformats.org/officeDocument/2006/relationships/hyperlink" Target="https://www.boliga.dk/maegler/17934" TargetMode="External"/><Relationship Id="rId26" Type="http://schemas.openxmlformats.org/officeDocument/2006/relationships/hyperlink" Target="https://www.boliga.dk/maegler/20749" TargetMode="External"/><Relationship Id="rId39" Type="http://schemas.openxmlformats.org/officeDocument/2006/relationships/hyperlink" Target="https://www.boliga.dk/maegler/25790" TargetMode="External"/><Relationship Id="rId21" Type="http://schemas.openxmlformats.org/officeDocument/2006/relationships/hyperlink" Target="https://www.boliga.dk/maegler/25202" TargetMode="External"/><Relationship Id="rId34" Type="http://schemas.openxmlformats.org/officeDocument/2006/relationships/hyperlink" Target="https://www.boliga.dk/maegler/255" TargetMode="External"/><Relationship Id="rId42" Type="http://schemas.openxmlformats.org/officeDocument/2006/relationships/hyperlink" Target="https://www.boliga.dk/maegler/551" TargetMode="External"/><Relationship Id="rId47" Type="http://schemas.openxmlformats.org/officeDocument/2006/relationships/hyperlink" Target="https://www.boliga.dk/maegler/26405" TargetMode="External"/><Relationship Id="rId50" Type="http://schemas.openxmlformats.org/officeDocument/2006/relationships/hyperlink" Target="https://www.boliga.dk/maegler/17934" TargetMode="External"/><Relationship Id="rId55" Type="http://schemas.openxmlformats.org/officeDocument/2006/relationships/hyperlink" Target="https://www.boliga.dk/maegler/976" TargetMode="External"/><Relationship Id="rId7" Type="http://schemas.openxmlformats.org/officeDocument/2006/relationships/hyperlink" Target="https://www.boliga.dk/maegler/885" TargetMode="External"/><Relationship Id="rId2" Type="http://schemas.openxmlformats.org/officeDocument/2006/relationships/hyperlink" Target="https://www.boliga.dk/maegler/18123" TargetMode="External"/><Relationship Id="rId16" Type="http://schemas.openxmlformats.org/officeDocument/2006/relationships/hyperlink" Target="https://www.boliga.dk/maegler/277" TargetMode="External"/><Relationship Id="rId29" Type="http://schemas.openxmlformats.org/officeDocument/2006/relationships/hyperlink" Target="https://www.boliga.dk/maegler/17851" TargetMode="External"/><Relationship Id="rId11" Type="http://schemas.openxmlformats.org/officeDocument/2006/relationships/hyperlink" Target="https://www.boliga.dk/maegler/19239" TargetMode="External"/><Relationship Id="rId24" Type="http://schemas.openxmlformats.org/officeDocument/2006/relationships/hyperlink" Target="https://www.boliga.dk/maegler/932" TargetMode="External"/><Relationship Id="rId32" Type="http://schemas.openxmlformats.org/officeDocument/2006/relationships/hyperlink" Target="https://www.boliga.dk/maegler/18120" TargetMode="External"/><Relationship Id="rId37" Type="http://schemas.openxmlformats.org/officeDocument/2006/relationships/hyperlink" Target="https://www.boliga.dk/maegler/25801" TargetMode="External"/><Relationship Id="rId40" Type="http://schemas.openxmlformats.org/officeDocument/2006/relationships/hyperlink" Target="https://www.boliga.dk/maegler/25793" TargetMode="External"/><Relationship Id="rId45" Type="http://schemas.openxmlformats.org/officeDocument/2006/relationships/hyperlink" Target="https://www.boliga.dk/maegler/995" TargetMode="External"/><Relationship Id="rId53" Type="http://schemas.openxmlformats.org/officeDocument/2006/relationships/hyperlink" Target="https://www.boliga.dk/maegler/25157" TargetMode="External"/><Relationship Id="rId5" Type="http://schemas.openxmlformats.org/officeDocument/2006/relationships/hyperlink" Target="https://www.boliga.dk/maegler/388" TargetMode="External"/><Relationship Id="rId10" Type="http://schemas.openxmlformats.org/officeDocument/2006/relationships/hyperlink" Target="https://www.boliga.dk/maegler/19306" TargetMode="External"/><Relationship Id="rId19" Type="http://schemas.openxmlformats.org/officeDocument/2006/relationships/hyperlink" Target="https://www.boliga.dk/maegler/451" TargetMode="External"/><Relationship Id="rId31" Type="http://schemas.openxmlformats.org/officeDocument/2006/relationships/hyperlink" Target="https://www.boliga.dk/maegler/107" TargetMode="External"/><Relationship Id="rId44" Type="http://schemas.openxmlformats.org/officeDocument/2006/relationships/hyperlink" Target="https://www.boliga.dk/maegler/76" TargetMode="External"/><Relationship Id="rId52" Type="http://schemas.openxmlformats.org/officeDocument/2006/relationships/hyperlink" Target="https://www.boliga.dk/maegler/25169" TargetMode="External"/><Relationship Id="rId4" Type="http://schemas.openxmlformats.org/officeDocument/2006/relationships/hyperlink" Target="https://www.boliga.dk/maegler/18068" TargetMode="External"/><Relationship Id="rId9" Type="http://schemas.openxmlformats.org/officeDocument/2006/relationships/hyperlink" Target="https://www.boliga.dk/maegler/20288" TargetMode="External"/><Relationship Id="rId14" Type="http://schemas.openxmlformats.org/officeDocument/2006/relationships/hyperlink" Target="https://www.boliga.dk/maegler/25268" TargetMode="External"/><Relationship Id="rId22" Type="http://schemas.openxmlformats.org/officeDocument/2006/relationships/hyperlink" Target="https://www.boliga.dk/maegler/231" TargetMode="External"/><Relationship Id="rId27" Type="http://schemas.openxmlformats.org/officeDocument/2006/relationships/hyperlink" Target="https://www.boliga.dk/maegler/25250" TargetMode="External"/><Relationship Id="rId30" Type="http://schemas.openxmlformats.org/officeDocument/2006/relationships/hyperlink" Target="https://www.boliga.dk/maegler/21327" TargetMode="External"/><Relationship Id="rId35" Type="http://schemas.openxmlformats.org/officeDocument/2006/relationships/hyperlink" Target="https://www.boliga.dk/maegler/25794" TargetMode="External"/><Relationship Id="rId43" Type="http://schemas.openxmlformats.org/officeDocument/2006/relationships/hyperlink" Target="https://www.boliga.dk/maegler/551" TargetMode="External"/><Relationship Id="rId48" Type="http://schemas.openxmlformats.org/officeDocument/2006/relationships/hyperlink" Target="https://www.boliga.dk/maegler/825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www.boliga.dk/maegler/162" TargetMode="External"/><Relationship Id="rId51" Type="http://schemas.openxmlformats.org/officeDocument/2006/relationships/hyperlink" Target="https://www.boliga.dk/maegler/201" TargetMode="External"/><Relationship Id="rId3" Type="http://schemas.openxmlformats.org/officeDocument/2006/relationships/hyperlink" Target="https://www.boliga.dk/maegler/826" TargetMode="External"/><Relationship Id="rId12" Type="http://schemas.openxmlformats.org/officeDocument/2006/relationships/hyperlink" Target="https://www.boliga.dk/maegler/22726" TargetMode="External"/><Relationship Id="rId17" Type="http://schemas.openxmlformats.org/officeDocument/2006/relationships/hyperlink" Target="https://www.boliga.dk/maegler/201" TargetMode="External"/><Relationship Id="rId25" Type="http://schemas.openxmlformats.org/officeDocument/2006/relationships/hyperlink" Target="https://www.boliga.dk/maegler/196" TargetMode="External"/><Relationship Id="rId33" Type="http://schemas.openxmlformats.org/officeDocument/2006/relationships/hyperlink" Target="https://www.boliga.dk/maegler/18145" TargetMode="External"/><Relationship Id="rId38" Type="http://schemas.openxmlformats.org/officeDocument/2006/relationships/hyperlink" Target="https://www.boliga.dk/maegler/25792" TargetMode="External"/><Relationship Id="rId46" Type="http://schemas.openxmlformats.org/officeDocument/2006/relationships/hyperlink" Target="https://www.boliga.dk/maegler/239" TargetMode="External"/><Relationship Id="rId20" Type="http://schemas.openxmlformats.org/officeDocument/2006/relationships/hyperlink" Target="https://www.boliga.dk/maegler/110" TargetMode="External"/><Relationship Id="rId41" Type="http://schemas.openxmlformats.org/officeDocument/2006/relationships/hyperlink" Target="https://www.boliga.dk/maegler/867" TargetMode="External"/><Relationship Id="rId54" Type="http://schemas.openxmlformats.org/officeDocument/2006/relationships/hyperlink" Target="https://www.boliga.dk/maegler/173" TargetMode="External"/><Relationship Id="rId1" Type="http://schemas.openxmlformats.org/officeDocument/2006/relationships/hyperlink" Target="https://www.boliga.dk/maegler/802" TargetMode="External"/><Relationship Id="rId6" Type="http://schemas.openxmlformats.org/officeDocument/2006/relationships/hyperlink" Target="https://www.boliga.dk/maegler/299" TargetMode="External"/><Relationship Id="rId15" Type="http://schemas.openxmlformats.org/officeDocument/2006/relationships/hyperlink" Target="https://www.boliga.dk/maegler/1031" TargetMode="External"/><Relationship Id="rId23" Type="http://schemas.openxmlformats.org/officeDocument/2006/relationships/hyperlink" Target="https://www.boliga.dk/maegler/98" TargetMode="External"/><Relationship Id="rId28" Type="http://schemas.openxmlformats.org/officeDocument/2006/relationships/hyperlink" Target="https://www.boliga.dk/maegler/17504" TargetMode="External"/><Relationship Id="rId36" Type="http://schemas.openxmlformats.org/officeDocument/2006/relationships/hyperlink" Target="https://www.boliga.dk/maegler/25791" TargetMode="External"/><Relationship Id="rId49" Type="http://schemas.openxmlformats.org/officeDocument/2006/relationships/hyperlink" Target="https://www.boliga.dk/maegler/825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oliga.dk/maegler/17500" TargetMode="External"/><Relationship Id="rId21" Type="http://schemas.openxmlformats.org/officeDocument/2006/relationships/hyperlink" Target="https://www.boliga.dk/maegler/607" TargetMode="External"/><Relationship Id="rId42" Type="http://schemas.openxmlformats.org/officeDocument/2006/relationships/hyperlink" Target="https://www.boliga.dk/maegler/17504" TargetMode="External"/><Relationship Id="rId47" Type="http://schemas.openxmlformats.org/officeDocument/2006/relationships/hyperlink" Target="https://www.boliga.dk/maegler/18120" TargetMode="External"/><Relationship Id="rId63" Type="http://schemas.openxmlformats.org/officeDocument/2006/relationships/hyperlink" Target="https://www.boliga.dk/maegler/884" TargetMode="External"/><Relationship Id="rId68" Type="http://schemas.openxmlformats.org/officeDocument/2006/relationships/hyperlink" Target="https://www.boliga.dk/maegler/49" TargetMode="External"/><Relationship Id="rId84" Type="http://schemas.openxmlformats.org/officeDocument/2006/relationships/hyperlink" Target="https://www.boliga.dk/maegler/25121" TargetMode="External"/><Relationship Id="rId89" Type="http://schemas.openxmlformats.org/officeDocument/2006/relationships/hyperlink" Target="https://www.boliga.dk/maegler/347" TargetMode="External"/><Relationship Id="rId112" Type="http://schemas.openxmlformats.org/officeDocument/2006/relationships/hyperlink" Target="https://www.boliga.dk/maegler/29110" TargetMode="External"/><Relationship Id="rId16" Type="http://schemas.openxmlformats.org/officeDocument/2006/relationships/hyperlink" Target="https://www.boliga.dk/maegler/162" TargetMode="External"/><Relationship Id="rId107" Type="http://schemas.openxmlformats.org/officeDocument/2006/relationships/hyperlink" Target="https://www.boliga.dk/maegler/88" TargetMode="External"/><Relationship Id="rId11" Type="http://schemas.openxmlformats.org/officeDocument/2006/relationships/hyperlink" Target="https://www.boliga.dk/maegler/17937" TargetMode="External"/><Relationship Id="rId32" Type="http://schemas.openxmlformats.org/officeDocument/2006/relationships/hyperlink" Target="https://www.boliga.dk/maegler/220" TargetMode="External"/><Relationship Id="rId37" Type="http://schemas.openxmlformats.org/officeDocument/2006/relationships/hyperlink" Target="https://www.boliga.dk/maegler/451" TargetMode="External"/><Relationship Id="rId53" Type="http://schemas.openxmlformats.org/officeDocument/2006/relationships/hyperlink" Target="https://www.boliga.dk/maegler/655" TargetMode="External"/><Relationship Id="rId58" Type="http://schemas.openxmlformats.org/officeDocument/2006/relationships/hyperlink" Target="https://boliga.dk/maegler/17897" TargetMode="External"/><Relationship Id="rId74" Type="http://schemas.openxmlformats.org/officeDocument/2006/relationships/hyperlink" Target="https://www.boliga.dk/maegler/835" TargetMode="External"/><Relationship Id="rId79" Type="http://schemas.openxmlformats.org/officeDocument/2006/relationships/hyperlink" Target="https://www.boliga.dk/maegler/18814" TargetMode="External"/><Relationship Id="rId102" Type="http://schemas.openxmlformats.org/officeDocument/2006/relationships/hyperlink" Target="https://www.boliga.dk/maegler/717" TargetMode="External"/><Relationship Id="rId5" Type="http://schemas.openxmlformats.org/officeDocument/2006/relationships/hyperlink" Target="https://www.boliga.dk/maegler/972" TargetMode="External"/><Relationship Id="rId90" Type="http://schemas.openxmlformats.org/officeDocument/2006/relationships/hyperlink" Target="https://www.boliga.dk/maegler/28016" TargetMode="External"/><Relationship Id="rId95" Type="http://schemas.openxmlformats.org/officeDocument/2006/relationships/hyperlink" Target="https://www.boliga.dk/maegler/18118" TargetMode="External"/><Relationship Id="rId22" Type="http://schemas.openxmlformats.org/officeDocument/2006/relationships/hyperlink" Target="https://www.boliga.dk/maegler/604" TargetMode="External"/><Relationship Id="rId27" Type="http://schemas.openxmlformats.org/officeDocument/2006/relationships/hyperlink" Target="https://www.boliga.dk/maegler/926" TargetMode="External"/><Relationship Id="rId43" Type="http://schemas.openxmlformats.org/officeDocument/2006/relationships/hyperlink" Target="https://www.boliga.dk/maegler/17851" TargetMode="External"/><Relationship Id="rId48" Type="http://schemas.openxmlformats.org/officeDocument/2006/relationships/hyperlink" Target="https://www.boliga.dk/maegler/18145" TargetMode="External"/><Relationship Id="rId64" Type="http://schemas.openxmlformats.org/officeDocument/2006/relationships/hyperlink" Target="https://www.boliga.dk/maegler/650" TargetMode="External"/><Relationship Id="rId69" Type="http://schemas.openxmlformats.org/officeDocument/2006/relationships/hyperlink" Target="https://www.boliga.dk/maegler/9" TargetMode="External"/><Relationship Id="rId113" Type="http://schemas.openxmlformats.org/officeDocument/2006/relationships/hyperlink" Target="https://www.boliga.dk/maegler/901" TargetMode="External"/><Relationship Id="rId80" Type="http://schemas.openxmlformats.org/officeDocument/2006/relationships/hyperlink" Target="https://www.boliga.dk/maegler/804" TargetMode="External"/><Relationship Id="rId85" Type="http://schemas.openxmlformats.org/officeDocument/2006/relationships/hyperlink" Target="https://www.boliga.dk/maegler/374" TargetMode="External"/><Relationship Id="rId12" Type="http://schemas.openxmlformats.org/officeDocument/2006/relationships/hyperlink" Target="https://www.boliga.dk/maegler/388" TargetMode="External"/><Relationship Id="rId17" Type="http://schemas.openxmlformats.org/officeDocument/2006/relationships/hyperlink" Target="https://www.boliga.dk/maegler/17518" TargetMode="External"/><Relationship Id="rId33" Type="http://schemas.openxmlformats.org/officeDocument/2006/relationships/hyperlink" Target="https://www.boliga.dk/maegler/201" TargetMode="External"/><Relationship Id="rId38" Type="http://schemas.openxmlformats.org/officeDocument/2006/relationships/hyperlink" Target="https://www.boliga.dk/maegler/976" TargetMode="External"/><Relationship Id="rId59" Type="http://schemas.openxmlformats.org/officeDocument/2006/relationships/hyperlink" Target="https://www.boliga.dk/maegler/137" TargetMode="External"/><Relationship Id="rId103" Type="http://schemas.openxmlformats.org/officeDocument/2006/relationships/hyperlink" Target="https://www.boliga.dk/maegler/28859" TargetMode="External"/><Relationship Id="rId108" Type="http://schemas.openxmlformats.org/officeDocument/2006/relationships/hyperlink" Target="https://www.boliga.dk/maegler/952" TargetMode="External"/><Relationship Id="rId54" Type="http://schemas.openxmlformats.org/officeDocument/2006/relationships/hyperlink" Target="https://www.boliga.dk/maegler/867" TargetMode="External"/><Relationship Id="rId70" Type="http://schemas.openxmlformats.org/officeDocument/2006/relationships/hyperlink" Target="https://www.boliga.dk/maegler/504" TargetMode="External"/><Relationship Id="rId75" Type="http://schemas.openxmlformats.org/officeDocument/2006/relationships/hyperlink" Target="https://www.boliga.dk/maegler/168" TargetMode="External"/><Relationship Id="rId91" Type="http://schemas.openxmlformats.org/officeDocument/2006/relationships/hyperlink" Target="https://www.boliga.dk/maegler/752" TargetMode="External"/><Relationship Id="rId96" Type="http://schemas.openxmlformats.org/officeDocument/2006/relationships/hyperlink" Target="https://www.boliga.dk/maegler/74" TargetMode="External"/><Relationship Id="rId1" Type="http://schemas.openxmlformats.org/officeDocument/2006/relationships/hyperlink" Target="https://www.boliga.dk/maegler/17503" TargetMode="External"/><Relationship Id="rId6" Type="http://schemas.openxmlformats.org/officeDocument/2006/relationships/hyperlink" Target="https://www.boliga.dk/maegler/826" TargetMode="External"/><Relationship Id="rId15" Type="http://schemas.openxmlformats.org/officeDocument/2006/relationships/hyperlink" Target="https://www.boliga.dk/maegler/18162" TargetMode="External"/><Relationship Id="rId23" Type="http://schemas.openxmlformats.org/officeDocument/2006/relationships/hyperlink" Target="https://www.boliga.dk/maegler/22726" TargetMode="External"/><Relationship Id="rId28" Type="http://schemas.openxmlformats.org/officeDocument/2006/relationships/hyperlink" Target="https://www.boliga.dk/maegler/847" TargetMode="External"/><Relationship Id="rId36" Type="http://schemas.openxmlformats.org/officeDocument/2006/relationships/hyperlink" Target="https://www.boliga.dk/maegler/519" TargetMode="External"/><Relationship Id="rId49" Type="http://schemas.openxmlformats.org/officeDocument/2006/relationships/hyperlink" Target="https://www.boliga.dk/maegler/255" TargetMode="External"/><Relationship Id="rId57" Type="http://schemas.openxmlformats.org/officeDocument/2006/relationships/hyperlink" Target="https://boliga.dk/maegler/76" TargetMode="External"/><Relationship Id="rId106" Type="http://schemas.openxmlformats.org/officeDocument/2006/relationships/hyperlink" Target="https://www.boliga.dk/maegler/25115" TargetMode="External"/><Relationship Id="rId114" Type="http://schemas.openxmlformats.org/officeDocument/2006/relationships/hyperlink" Target="https://www.boliga.dk/maegler/934" TargetMode="External"/><Relationship Id="rId10" Type="http://schemas.openxmlformats.org/officeDocument/2006/relationships/hyperlink" Target="https://www.boliga.dk/maegler/767" TargetMode="External"/><Relationship Id="rId31" Type="http://schemas.openxmlformats.org/officeDocument/2006/relationships/hyperlink" Target="https://www.boliga.dk/maegler/18127" TargetMode="External"/><Relationship Id="rId44" Type="http://schemas.openxmlformats.org/officeDocument/2006/relationships/hyperlink" Target="https://www.boliga.dk/maegler/444" TargetMode="External"/><Relationship Id="rId52" Type="http://schemas.openxmlformats.org/officeDocument/2006/relationships/hyperlink" Target="https://www.boliga.dk/maegler/520" TargetMode="External"/><Relationship Id="rId60" Type="http://schemas.openxmlformats.org/officeDocument/2006/relationships/hyperlink" Target="https://www.boliga.dk/maegler/673" TargetMode="External"/><Relationship Id="rId65" Type="http://schemas.openxmlformats.org/officeDocument/2006/relationships/hyperlink" Target="https://www.boliga.dk/maegler/150" TargetMode="External"/><Relationship Id="rId73" Type="http://schemas.openxmlformats.org/officeDocument/2006/relationships/hyperlink" Target="https://www.boliga.dk/maegler/143" TargetMode="External"/><Relationship Id="rId78" Type="http://schemas.openxmlformats.org/officeDocument/2006/relationships/hyperlink" Target="https://www.boliga.dk/maegler/337" TargetMode="External"/><Relationship Id="rId81" Type="http://schemas.openxmlformats.org/officeDocument/2006/relationships/hyperlink" Target="https://www.boliga.dk/maegler/545" TargetMode="External"/><Relationship Id="rId86" Type="http://schemas.openxmlformats.org/officeDocument/2006/relationships/hyperlink" Target="https://www.boliga.dk/maegler/13," TargetMode="External"/><Relationship Id="rId94" Type="http://schemas.openxmlformats.org/officeDocument/2006/relationships/hyperlink" Target="https://www.boliga.dk/maegler/18150" TargetMode="External"/><Relationship Id="rId99" Type="http://schemas.openxmlformats.org/officeDocument/2006/relationships/hyperlink" Target="https://www.boliga.dk/maegler/17934" TargetMode="External"/><Relationship Id="rId101" Type="http://schemas.openxmlformats.org/officeDocument/2006/relationships/hyperlink" Target="https://www.boliga.dk/maegler/25169" TargetMode="External"/><Relationship Id="rId4" Type="http://schemas.openxmlformats.org/officeDocument/2006/relationships/hyperlink" Target="https://www.boliga.dk/maegler/715" TargetMode="External"/><Relationship Id="rId9" Type="http://schemas.openxmlformats.org/officeDocument/2006/relationships/hyperlink" Target="https://www.boliga.dk/maegler/18103" TargetMode="External"/><Relationship Id="rId13" Type="http://schemas.openxmlformats.org/officeDocument/2006/relationships/hyperlink" Target="https://www.boliga.dk/maegler/299" TargetMode="External"/><Relationship Id="rId18" Type="http://schemas.openxmlformats.org/officeDocument/2006/relationships/hyperlink" Target="https://www.boliga.dk/maegler/20288" TargetMode="External"/><Relationship Id="rId39" Type="http://schemas.openxmlformats.org/officeDocument/2006/relationships/hyperlink" Target="https://www.boliga.dk/maegler/19522" TargetMode="External"/><Relationship Id="rId109" Type="http://schemas.openxmlformats.org/officeDocument/2006/relationships/hyperlink" Target="https://www.boliga.dk/maegler/704" TargetMode="External"/><Relationship Id="rId34" Type="http://schemas.openxmlformats.org/officeDocument/2006/relationships/hyperlink" Target="https://www.boliga.dk/maegler/17934" TargetMode="External"/><Relationship Id="rId50" Type="http://schemas.openxmlformats.org/officeDocument/2006/relationships/hyperlink" Target="https://www.boliga.dk/maegler/25794" TargetMode="External"/><Relationship Id="rId55" Type="http://schemas.openxmlformats.org/officeDocument/2006/relationships/hyperlink" Target="https://www.boliga.dk/maegler/551" TargetMode="External"/><Relationship Id="rId76" Type="http://schemas.openxmlformats.org/officeDocument/2006/relationships/hyperlink" Target="https://www.boliga.dk/maegler/407" TargetMode="External"/><Relationship Id="rId97" Type="http://schemas.openxmlformats.org/officeDocument/2006/relationships/hyperlink" Target="https://www.boliga.dk/maegler/27653" TargetMode="External"/><Relationship Id="rId104" Type="http://schemas.openxmlformats.org/officeDocument/2006/relationships/hyperlink" Target="mailto:holstebro@danbolig.dk?subject=Mail%20sendt%20fra%20Boliga.dk%20-%20danbolig%20Holstebro" TargetMode="External"/><Relationship Id="rId7" Type="http://schemas.openxmlformats.org/officeDocument/2006/relationships/hyperlink" Target="https://www.boliga.dk/maegler/251" TargetMode="External"/><Relationship Id="rId71" Type="http://schemas.openxmlformats.org/officeDocument/2006/relationships/hyperlink" Target="https://www.boliga.dk/maegler/17485" TargetMode="External"/><Relationship Id="rId92" Type="http://schemas.openxmlformats.org/officeDocument/2006/relationships/hyperlink" Target="https://www.boliga.dk/maegler/27521" TargetMode="External"/><Relationship Id="rId2" Type="http://schemas.openxmlformats.org/officeDocument/2006/relationships/hyperlink" Target="https://www.boliga.dk/maegler/802" TargetMode="External"/><Relationship Id="rId29" Type="http://schemas.openxmlformats.org/officeDocument/2006/relationships/hyperlink" Target="https://www.boliga.dk/maegler/277" TargetMode="External"/><Relationship Id="rId24" Type="http://schemas.openxmlformats.org/officeDocument/2006/relationships/hyperlink" Target="https://www.boliga.dk/maegler/303" TargetMode="External"/><Relationship Id="rId40" Type="http://schemas.openxmlformats.org/officeDocument/2006/relationships/hyperlink" Target="https://www.boliga.dk/maegler/17878" TargetMode="External"/><Relationship Id="rId45" Type="http://schemas.openxmlformats.org/officeDocument/2006/relationships/hyperlink" Target="https://www.boliga.dk/maegler/21327" TargetMode="External"/><Relationship Id="rId66" Type="http://schemas.openxmlformats.org/officeDocument/2006/relationships/hyperlink" Target="https://www.boliga.dk/maegler/142" TargetMode="External"/><Relationship Id="rId87" Type="http://schemas.openxmlformats.org/officeDocument/2006/relationships/hyperlink" Target="https://www.boliga.dk/maegler/819" TargetMode="External"/><Relationship Id="rId110" Type="http://schemas.openxmlformats.org/officeDocument/2006/relationships/hyperlink" Target="https://www.boliga.dk/maegler/160" TargetMode="External"/><Relationship Id="rId115" Type="http://schemas.openxmlformats.org/officeDocument/2006/relationships/hyperlink" Target="https://www.boliga.dk/maegler/19703" TargetMode="External"/><Relationship Id="rId61" Type="http://schemas.openxmlformats.org/officeDocument/2006/relationships/hyperlink" Target="https://www.boliga.dk/maegler/572" TargetMode="External"/><Relationship Id="rId82" Type="http://schemas.openxmlformats.org/officeDocument/2006/relationships/hyperlink" Target="https://www.boliga.dk/maegler/26405" TargetMode="External"/><Relationship Id="rId19" Type="http://schemas.openxmlformats.org/officeDocument/2006/relationships/hyperlink" Target="https://www.boliga.dk/maegler/19306" TargetMode="External"/><Relationship Id="rId14" Type="http://schemas.openxmlformats.org/officeDocument/2006/relationships/hyperlink" Target="https://www.boliga.dk/maegler/885" TargetMode="External"/><Relationship Id="rId30" Type="http://schemas.openxmlformats.org/officeDocument/2006/relationships/hyperlink" Target="https://www.boliga.dk/maegler/113" TargetMode="External"/><Relationship Id="rId35" Type="http://schemas.openxmlformats.org/officeDocument/2006/relationships/hyperlink" Target="https://www.boliga.dk/maegler/870" TargetMode="External"/><Relationship Id="rId56" Type="http://schemas.openxmlformats.org/officeDocument/2006/relationships/hyperlink" Target="https://boliga.dk/maegler/1054" TargetMode="External"/><Relationship Id="rId77" Type="http://schemas.openxmlformats.org/officeDocument/2006/relationships/hyperlink" Target="https://www.boliga.dk/maegler/324" TargetMode="External"/><Relationship Id="rId100" Type="http://schemas.openxmlformats.org/officeDocument/2006/relationships/hyperlink" Target="https://www.boliga.dk/maegler/26235" TargetMode="External"/><Relationship Id="rId105" Type="http://schemas.openxmlformats.org/officeDocument/2006/relationships/hyperlink" Target="https://www.boliga.dk/maegler/171" TargetMode="External"/><Relationship Id="rId8" Type="http://schemas.openxmlformats.org/officeDocument/2006/relationships/hyperlink" Target="https://www.boliga.dk/maegler/18068" TargetMode="External"/><Relationship Id="rId51" Type="http://schemas.openxmlformats.org/officeDocument/2006/relationships/hyperlink" Target="https://www.boliga.dk/maegler/25792" TargetMode="External"/><Relationship Id="rId72" Type="http://schemas.openxmlformats.org/officeDocument/2006/relationships/hyperlink" Target="https://www.boliga.dk/maegler/116" TargetMode="External"/><Relationship Id="rId93" Type="http://schemas.openxmlformats.org/officeDocument/2006/relationships/hyperlink" Target="https://www.boliga.dk/maegler/540" TargetMode="External"/><Relationship Id="rId98" Type="http://schemas.openxmlformats.org/officeDocument/2006/relationships/hyperlink" Target="https://www.boliga.dk/maegler/201" TargetMode="External"/><Relationship Id="rId3" Type="http://schemas.openxmlformats.org/officeDocument/2006/relationships/hyperlink" Target="https://www.boliga.dk/maegler/18123" TargetMode="External"/><Relationship Id="rId25" Type="http://schemas.openxmlformats.org/officeDocument/2006/relationships/hyperlink" Target="https://www.boliga.dk/maegler/25268" TargetMode="External"/><Relationship Id="rId46" Type="http://schemas.openxmlformats.org/officeDocument/2006/relationships/hyperlink" Target="https://www.boliga.dk/maegler/107" TargetMode="External"/><Relationship Id="rId67" Type="http://schemas.openxmlformats.org/officeDocument/2006/relationships/hyperlink" Target="https://www.boliga.dk/maegler/18703" TargetMode="External"/><Relationship Id="rId20" Type="http://schemas.openxmlformats.org/officeDocument/2006/relationships/hyperlink" Target="https://www.boliga.dk/maegler/19239" TargetMode="External"/><Relationship Id="rId41" Type="http://schemas.openxmlformats.org/officeDocument/2006/relationships/hyperlink" Target="https://www.boliga.dk/maegler/25250" TargetMode="External"/><Relationship Id="rId62" Type="http://schemas.openxmlformats.org/officeDocument/2006/relationships/hyperlink" Target="https://www.boliga.dk/maegler/815" TargetMode="External"/><Relationship Id="rId83" Type="http://schemas.openxmlformats.org/officeDocument/2006/relationships/hyperlink" Target="https://www.boliga.dk/maegler/35" TargetMode="External"/><Relationship Id="rId88" Type="http://schemas.openxmlformats.org/officeDocument/2006/relationships/hyperlink" Target="https://www.boliga.dk/maegler/17975" TargetMode="External"/><Relationship Id="rId111" Type="http://schemas.openxmlformats.org/officeDocument/2006/relationships/hyperlink" Target="https://www.boliga.dk/maegler/2706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oliga.dk/maegler/27742" TargetMode="External"/><Relationship Id="rId117" Type="http://schemas.openxmlformats.org/officeDocument/2006/relationships/hyperlink" Target="https://www.boliga.dk/maegler/20139" TargetMode="External"/><Relationship Id="rId21" Type="http://schemas.openxmlformats.org/officeDocument/2006/relationships/hyperlink" Target="https://www.boliga.dk/maegler/607" TargetMode="External"/><Relationship Id="rId42" Type="http://schemas.openxmlformats.org/officeDocument/2006/relationships/hyperlink" Target="https://www.boliga.dk/maegler/802" TargetMode="External"/><Relationship Id="rId47" Type="http://schemas.openxmlformats.org/officeDocument/2006/relationships/hyperlink" Target="https://www.boliga.dk/maegler/667" TargetMode="External"/><Relationship Id="rId63" Type="http://schemas.openxmlformats.org/officeDocument/2006/relationships/hyperlink" Target="https://www.boliga.dk/maegler/870" TargetMode="External"/><Relationship Id="rId68" Type="http://schemas.openxmlformats.org/officeDocument/2006/relationships/hyperlink" Target="https://www.boliga.dk/maegler/932" TargetMode="External"/><Relationship Id="rId84" Type="http://schemas.openxmlformats.org/officeDocument/2006/relationships/hyperlink" Target="https://www.boliga.dk/maegler/520" TargetMode="External"/><Relationship Id="rId89" Type="http://schemas.openxmlformats.org/officeDocument/2006/relationships/hyperlink" Target="https://www.boliga.dk/maegler/62" TargetMode="External"/><Relationship Id="rId112" Type="http://schemas.openxmlformats.org/officeDocument/2006/relationships/hyperlink" Target="https://www.boliga.dk/maegler/347" TargetMode="External"/><Relationship Id="rId16" Type="http://schemas.openxmlformats.org/officeDocument/2006/relationships/hyperlink" Target="https://www.boliga.dk/maegler/201" TargetMode="External"/><Relationship Id="rId107" Type="http://schemas.openxmlformats.org/officeDocument/2006/relationships/hyperlink" Target="https://www.boliga.dk/maegler/27653" TargetMode="External"/><Relationship Id="rId11" Type="http://schemas.openxmlformats.org/officeDocument/2006/relationships/hyperlink" Target="https://www.boliga.dk/maegler/25170" TargetMode="External"/><Relationship Id="rId32" Type="http://schemas.openxmlformats.org/officeDocument/2006/relationships/hyperlink" Target="https://www.boliga.dk/maegler/25792" TargetMode="External"/><Relationship Id="rId37" Type="http://schemas.openxmlformats.org/officeDocument/2006/relationships/hyperlink" Target="https://www.boliga.dk/maegler/451" TargetMode="External"/><Relationship Id="rId53" Type="http://schemas.openxmlformats.org/officeDocument/2006/relationships/hyperlink" Target="https://www.boliga.dk/maegler/277" TargetMode="External"/><Relationship Id="rId58" Type="http://schemas.openxmlformats.org/officeDocument/2006/relationships/hyperlink" Target="https://www.boliga.dk/maegler/976" TargetMode="External"/><Relationship Id="rId74" Type="http://schemas.openxmlformats.org/officeDocument/2006/relationships/hyperlink" Target="https://www.boliga.dk/maegler/17937" TargetMode="External"/><Relationship Id="rId79" Type="http://schemas.openxmlformats.org/officeDocument/2006/relationships/hyperlink" Target="https://www.boliga.dk/maegler/196" TargetMode="External"/><Relationship Id="rId102" Type="http://schemas.openxmlformats.org/officeDocument/2006/relationships/hyperlink" Target="https://www.boliga.dk/maegler/49" TargetMode="External"/><Relationship Id="rId5" Type="http://schemas.openxmlformats.org/officeDocument/2006/relationships/hyperlink" Target="https://www.boliga.dk/maegler/26235" TargetMode="External"/><Relationship Id="rId90" Type="http://schemas.openxmlformats.org/officeDocument/2006/relationships/hyperlink" Target="https://www.boliga.dk/maegler/20174" TargetMode="External"/><Relationship Id="rId95" Type="http://schemas.openxmlformats.org/officeDocument/2006/relationships/hyperlink" Target="https://www.boliga.dk/maegler/17503" TargetMode="External"/><Relationship Id="rId22" Type="http://schemas.openxmlformats.org/officeDocument/2006/relationships/hyperlink" Target="https://www.boliga.dk/maegler/710" TargetMode="External"/><Relationship Id="rId27" Type="http://schemas.openxmlformats.org/officeDocument/2006/relationships/hyperlink" Target="https://www.boliga.dk/maegler/251" TargetMode="External"/><Relationship Id="rId43" Type="http://schemas.openxmlformats.org/officeDocument/2006/relationships/hyperlink" Target="https://www.boliga.dk/maegler/826" TargetMode="External"/><Relationship Id="rId48" Type="http://schemas.openxmlformats.org/officeDocument/2006/relationships/hyperlink" Target="https://www.boliga.dk/maegler/847" TargetMode="External"/><Relationship Id="rId64" Type="http://schemas.openxmlformats.org/officeDocument/2006/relationships/hyperlink" Target="https://www.boliga.dk/maegler/25005" TargetMode="External"/><Relationship Id="rId69" Type="http://schemas.openxmlformats.org/officeDocument/2006/relationships/hyperlink" Target="https://www.boliga.dk/maegler/25268" TargetMode="External"/><Relationship Id="rId113" Type="http://schemas.openxmlformats.org/officeDocument/2006/relationships/hyperlink" Target="https://www.boliga.dk/maegler/1004" TargetMode="External"/><Relationship Id="rId118" Type="http://schemas.openxmlformats.org/officeDocument/2006/relationships/hyperlink" Target="https://www.boliga.dk/maegler/17122" TargetMode="External"/><Relationship Id="rId80" Type="http://schemas.openxmlformats.org/officeDocument/2006/relationships/hyperlink" Target="https://www.boliga.dk/maegler/20749" TargetMode="External"/><Relationship Id="rId85" Type="http://schemas.openxmlformats.org/officeDocument/2006/relationships/hyperlink" Target="https://www.boliga.dk/maegler/967" TargetMode="External"/><Relationship Id="rId12" Type="http://schemas.openxmlformats.org/officeDocument/2006/relationships/hyperlink" Target="https://www.boliga.dk/maegler/25168" TargetMode="External"/><Relationship Id="rId17" Type="http://schemas.openxmlformats.org/officeDocument/2006/relationships/hyperlink" Target="https://www.boliga.dk/maegler/551" TargetMode="External"/><Relationship Id="rId33" Type="http://schemas.openxmlformats.org/officeDocument/2006/relationships/hyperlink" Target="https://www.boliga.dk/maegler/715" TargetMode="External"/><Relationship Id="rId38" Type="http://schemas.openxmlformats.org/officeDocument/2006/relationships/hyperlink" Target="https://www.boliga.dk/maegler/220" TargetMode="External"/><Relationship Id="rId59" Type="http://schemas.openxmlformats.org/officeDocument/2006/relationships/hyperlink" Target="https://www.boliga.dk/maegler/604" TargetMode="External"/><Relationship Id="rId103" Type="http://schemas.openxmlformats.org/officeDocument/2006/relationships/hyperlink" Target="https://www.boliga.dk/maegler/174" TargetMode="External"/><Relationship Id="rId108" Type="http://schemas.openxmlformats.org/officeDocument/2006/relationships/hyperlink" Target="https://www.boliga.dk/maegler/18068" TargetMode="External"/><Relationship Id="rId54" Type="http://schemas.openxmlformats.org/officeDocument/2006/relationships/hyperlink" Target="https://www.boliga.dk/maegler/107" TargetMode="External"/><Relationship Id="rId70" Type="http://schemas.openxmlformats.org/officeDocument/2006/relationships/hyperlink" Target="https://www.boliga.dk/maegler/995" TargetMode="External"/><Relationship Id="rId75" Type="http://schemas.openxmlformats.org/officeDocument/2006/relationships/hyperlink" Target="https://www.boliga.dk/maegler/18123" TargetMode="External"/><Relationship Id="rId91" Type="http://schemas.openxmlformats.org/officeDocument/2006/relationships/hyperlink" Target="https://www.boliga.dk/maegler/17897" TargetMode="External"/><Relationship Id="rId96" Type="http://schemas.openxmlformats.org/officeDocument/2006/relationships/hyperlink" Target="https://www.boliga.dk/maegler/79" TargetMode="External"/><Relationship Id="rId1" Type="http://schemas.openxmlformats.org/officeDocument/2006/relationships/hyperlink" Target="https://www.boliga.dk/maegler/25793" TargetMode="External"/><Relationship Id="rId6" Type="http://schemas.openxmlformats.org/officeDocument/2006/relationships/hyperlink" Target="https://www.boliga.dk/maegler/173" TargetMode="External"/><Relationship Id="rId23" Type="http://schemas.openxmlformats.org/officeDocument/2006/relationships/hyperlink" Target="https://www.boliga.dk/maegler/805" TargetMode="External"/><Relationship Id="rId28" Type="http://schemas.openxmlformats.org/officeDocument/2006/relationships/hyperlink" Target="https://www.boliga.dk/maegler/17500" TargetMode="External"/><Relationship Id="rId49" Type="http://schemas.openxmlformats.org/officeDocument/2006/relationships/hyperlink" Target="https://www.boliga.dk/maegler/1054" TargetMode="External"/><Relationship Id="rId114" Type="http://schemas.openxmlformats.org/officeDocument/2006/relationships/hyperlink" Target="https://www.boliga.dk/maegler/17975" TargetMode="External"/><Relationship Id="rId119" Type="http://schemas.openxmlformats.org/officeDocument/2006/relationships/hyperlink" Target="https://www.boliga.dk/maegler/17123" TargetMode="External"/><Relationship Id="rId44" Type="http://schemas.openxmlformats.org/officeDocument/2006/relationships/hyperlink" Target="https://www.boliga.dk/maegler/18120" TargetMode="External"/><Relationship Id="rId60" Type="http://schemas.openxmlformats.org/officeDocument/2006/relationships/hyperlink" Target="https://www.boliga.dk/maegler/18118" TargetMode="External"/><Relationship Id="rId65" Type="http://schemas.openxmlformats.org/officeDocument/2006/relationships/hyperlink" Target="https://www.boliga.dk/maegler/519" TargetMode="External"/><Relationship Id="rId81" Type="http://schemas.openxmlformats.org/officeDocument/2006/relationships/hyperlink" Target="https://www.boliga.dk/maegler/399" TargetMode="External"/><Relationship Id="rId86" Type="http://schemas.openxmlformats.org/officeDocument/2006/relationships/hyperlink" Target="https://www.boliga.dk/maegler/823" TargetMode="External"/><Relationship Id="rId4" Type="http://schemas.openxmlformats.org/officeDocument/2006/relationships/hyperlink" Target="https://www.boliga.dk/maegler/25794" TargetMode="External"/><Relationship Id="rId9" Type="http://schemas.openxmlformats.org/officeDocument/2006/relationships/hyperlink" Target="https://www.boliga.dk/maegler/825" TargetMode="External"/><Relationship Id="rId13" Type="http://schemas.openxmlformats.org/officeDocument/2006/relationships/hyperlink" Target="https://www.boliga.dk/maegler/25791" TargetMode="External"/><Relationship Id="rId18" Type="http://schemas.openxmlformats.org/officeDocument/2006/relationships/hyperlink" Target="https://www.boliga.dk/maegler/303" TargetMode="External"/><Relationship Id="rId39" Type="http://schemas.openxmlformats.org/officeDocument/2006/relationships/hyperlink" Target="https://www.boliga.dk/maegler/113" TargetMode="External"/><Relationship Id="rId109" Type="http://schemas.openxmlformats.org/officeDocument/2006/relationships/hyperlink" Target="https://www.boliga.dk/maegler/394" TargetMode="External"/><Relationship Id="rId34" Type="http://schemas.openxmlformats.org/officeDocument/2006/relationships/hyperlink" Target="https://www.boliga.dk/maegler/388" TargetMode="External"/><Relationship Id="rId50" Type="http://schemas.openxmlformats.org/officeDocument/2006/relationships/hyperlink" Target="https://www.boliga.dk/maegler/21327" TargetMode="External"/><Relationship Id="rId55" Type="http://schemas.openxmlformats.org/officeDocument/2006/relationships/hyperlink" Target="https://www.boliga.dk/maegler/926" TargetMode="External"/><Relationship Id="rId76" Type="http://schemas.openxmlformats.org/officeDocument/2006/relationships/hyperlink" Target="https://www.boliga.dk/maegler/767" TargetMode="External"/><Relationship Id="rId97" Type="http://schemas.openxmlformats.org/officeDocument/2006/relationships/hyperlink" Target="https://www.boliga.dk/maegler/25250" TargetMode="External"/><Relationship Id="rId104" Type="http://schemas.openxmlformats.org/officeDocument/2006/relationships/hyperlink" Target="https://www.boliga.dk/maegler/26350" TargetMode="External"/><Relationship Id="rId120" Type="http://schemas.openxmlformats.org/officeDocument/2006/relationships/hyperlink" Target="https://www.boliga.dk/maegler/23933" TargetMode="External"/><Relationship Id="rId7" Type="http://schemas.openxmlformats.org/officeDocument/2006/relationships/hyperlink" Target="https://www.boliga.dk/maegler/531" TargetMode="External"/><Relationship Id="rId71" Type="http://schemas.openxmlformats.org/officeDocument/2006/relationships/hyperlink" Target="https://www.boliga.dk/maegler/239" TargetMode="External"/><Relationship Id="rId92" Type="http://schemas.openxmlformats.org/officeDocument/2006/relationships/hyperlink" Target="https://www.boliga.dk/maegler/18162" TargetMode="External"/><Relationship Id="rId2" Type="http://schemas.openxmlformats.org/officeDocument/2006/relationships/hyperlink" Target="https://www.boliga.dk/maegler/17934" TargetMode="External"/><Relationship Id="rId29" Type="http://schemas.openxmlformats.org/officeDocument/2006/relationships/hyperlink" Target="https://www.boliga.dk/maegler/28535" TargetMode="External"/><Relationship Id="rId24" Type="http://schemas.openxmlformats.org/officeDocument/2006/relationships/hyperlink" Target="https://www.boliga.dk/maegler/860" TargetMode="External"/><Relationship Id="rId40" Type="http://schemas.openxmlformats.org/officeDocument/2006/relationships/hyperlink" Target="https://www.boliga.dk/maegler/19239" TargetMode="External"/><Relationship Id="rId45" Type="http://schemas.openxmlformats.org/officeDocument/2006/relationships/hyperlink" Target="https://www.boliga.dk/maegler/18145" TargetMode="External"/><Relationship Id="rId66" Type="http://schemas.openxmlformats.org/officeDocument/2006/relationships/hyperlink" Target="https://www.boliga.dk/maegler/22726" TargetMode="External"/><Relationship Id="rId87" Type="http://schemas.openxmlformats.org/officeDocument/2006/relationships/hyperlink" Target="https://www.boliga.dk/maegler/450" TargetMode="External"/><Relationship Id="rId110" Type="http://schemas.openxmlformats.org/officeDocument/2006/relationships/hyperlink" Target="https://www.boliga.dk/maegler/592" TargetMode="External"/><Relationship Id="rId115" Type="http://schemas.openxmlformats.org/officeDocument/2006/relationships/hyperlink" Target="https://www.boliga.dk/maegler/20552" TargetMode="External"/><Relationship Id="rId61" Type="http://schemas.openxmlformats.org/officeDocument/2006/relationships/hyperlink" Target="https://www.boliga.dk/maegler/74" TargetMode="External"/><Relationship Id="rId82" Type="http://schemas.openxmlformats.org/officeDocument/2006/relationships/hyperlink" Target="https://www.boliga.dk/maegler/25202" TargetMode="External"/><Relationship Id="rId19" Type="http://schemas.openxmlformats.org/officeDocument/2006/relationships/hyperlink" Target="https://www.boliga.dk/maegler/1031" TargetMode="External"/><Relationship Id="rId14" Type="http://schemas.openxmlformats.org/officeDocument/2006/relationships/hyperlink" Target="https://www.boliga.dk/maegler/25801" TargetMode="External"/><Relationship Id="rId30" Type="http://schemas.openxmlformats.org/officeDocument/2006/relationships/hyperlink" Target="https://www.boliga.dk/maegler/299" TargetMode="External"/><Relationship Id="rId35" Type="http://schemas.openxmlformats.org/officeDocument/2006/relationships/hyperlink" Target="https://www.boliga.dk/maegler/867" TargetMode="External"/><Relationship Id="rId56" Type="http://schemas.openxmlformats.org/officeDocument/2006/relationships/hyperlink" Target="https://www.boliga.dk/maegler/94" TargetMode="External"/><Relationship Id="rId77" Type="http://schemas.openxmlformats.org/officeDocument/2006/relationships/hyperlink" Target="https://www.boliga.dk/maegler/110" TargetMode="External"/><Relationship Id="rId100" Type="http://schemas.openxmlformats.org/officeDocument/2006/relationships/hyperlink" Target="https://www.boliga.dk/maegler/17504" TargetMode="External"/><Relationship Id="rId105" Type="http://schemas.openxmlformats.org/officeDocument/2006/relationships/hyperlink" Target="https://www.boliga.dk/maegler/584" TargetMode="External"/><Relationship Id="rId8" Type="http://schemas.openxmlformats.org/officeDocument/2006/relationships/hyperlink" Target="https://www.boliga.dk/maegler/25790" TargetMode="External"/><Relationship Id="rId51" Type="http://schemas.openxmlformats.org/officeDocument/2006/relationships/hyperlink" Target="https://www.boliga.dk/maegler/26405" TargetMode="External"/><Relationship Id="rId72" Type="http://schemas.openxmlformats.org/officeDocument/2006/relationships/hyperlink" Target="https://www.boliga.dk/maegler/885" TargetMode="External"/><Relationship Id="rId93" Type="http://schemas.openxmlformats.org/officeDocument/2006/relationships/hyperlink" Target="https://www.boliga.dk/maegler/19522" TargetMode="External"/><Relationship Id="rId98" Type="http://schemas.openxmlformats.org/officeDocument/2006/relationships/hyperlink" Target="https://www.boliga.dk/maegler/17855" TargetMode="External"/><Relationship Id="rId121" Type="http://schemas.openxmlformats.org/officeDocument/2006/relationships/hyperlink" Target="https://www.boliga.dk/maegler/17127" TargetMode="External"/><Relationship Id="rId3" Type="http://schemas.openxmlformats.org/officeDocument/2006/relationships/hyperlink" Target="https://www.boliga.dk/maegler/29021" TargetMode="External"/><Relationship Id="rId25" Type="http://schemas.openxmlformats.org/officeDocument/2006/relationships/hyperlink" Target="https://www.boliga.dk/maegler/18127" TargetMode="External"/><Relationship Id="rId46" Type="http://schemas.openxmlformats.org/officeDocument/2006/relationships/hyperlink" Target="https://www.boliga.dk/maegler/444" TargetMode="External"/><Relationship Id="rId67" Type="http://schemas.openxmlformats.org/officeDocument/2006/relationships/hyperlink" Target="https://www.boliga.dk/maegler/98" TargetMode="External"/><Relationship Id="rId116" Type="http://schemas.openxmlformats.org/officeDocument/2006/relationships/hyperlink" Target="https://www.boliga.dk/maegler/18114" TargetMode="External"/><Relationship Id="rId20" Type="http://schemas.openxmlformats.org/officeDocument/2006/relationships/hyperlink" Target="https://www.boliga.dk/maegler/29030" TargetMode="External"/><Relationship Id="rId41" Type="http://schemas.openxmlformats.org/officeDocument/2006/relationships/hyperlink" Target="https://www.boliga.dk/maegler/20288" TargetMode="External"/><Relationship Id="rId62" Type="http://schemas.openxmlformats.org/officeDocument/2006/relationships/hyperlink" Target="https://www.boliga.dk/maegler/22795" TargetMode="External"/><Relationship Id="rId83" Type="http://schemas.openxmlformats.org/officeDocument/2006/relationships/hyperlink" Target="https://www.boliga.dk/maegler/655" TargetMode="External"/><Relationship Id="rId88" Type="http://schemas.openxmlformats.org/officeDocument/2006/relationships/hyperlink" Target="https://www.boliga.dk/maegler/975" TargetMode="External"/><Relationship Id="rId111" Type="http://schemas.openxmlformats.org/officeDocument/2006/relationships/hyperlink" Target="https://www.boliga.dk/maegler/28859" TargetMode="External"/><Relationship Id="rId15" Type="http://schemas.openxmlformats.org/officeDocument/2006/relationships/hyperlink" Target="https://www.boliga.dk/maegler/135" TargetMode="External"/><Relationship Id="rId36" Type="http://schemas.openxmlformats.org/officeDocument/2006/relationships/hyperlink" Target="https://www.boliga.dk/maegler/972" TargetMode="External"/><Relationship Id="rId57" Type="http://schemas.openxmlformats.org/officeDocument/2006/relationships/hyperlink" Target="https://www.boliga.dk/maegler/752" TargetMode="External"/><Relationship Id="rId106" Type="http://schemas.openxmlformats.org/officeDocument/2006/relationships/hyperlink" Target="https://www.boliga.dk/maegler/76" TargetMode="External"/><Relationship Id="rId10" Type="http://schemas.openxmlformats.org/officeDocument/2006/relationships/hyperlink" Target="https://www.boliga.dk/maegler/25169" TargetMode="External"/><Relationship Id="rId31" Type="http://schemas.openxmlformats.org/officeDocument/2006/relationships/hyperlink" Target="https://www.boliga.dk/maegler/25157" TargetMode="External"/><Relationship Id="rId52" Type="http://schemas.openxmlformats.org/officeDocument/2006/relationships/hyperlink" Target="https://www.boliga.dk/maegler/162" TargetMode="External"/><Relationship Id="rId73" Type="http://schemas.openxmlformats.org/officeDocument/2006/relationships/hyperlink" Target="https://www.boliga.dk/maegler/255" TargetMode="External"/><Relationship Id="rId78" Type="http://schemas.openxmlformats.org/officeDocument/2006/relationships/hyperlink" Target="https://www.boliga.dk/maegler/231" TargetMode="External"/><Relationship Id="rId94" Type="http://schemas.openxmlformats.org/officeDocument/2006/relationships/hyperlink" Target="https://www.boliga.dk/maegler/17878" TargetMode="External"/><Relationship Id="rId99" Type="http://schemas.openxmlformats.org/officeDocument/2006/relationships/hyperlink" Target="https://www.boliga.dk/maegler/18103" TargetMode="External"/><Relationship Id="rId101" Type="http://schemas.openxmlformats.org/officeDocument/2006/relationships/hyperlink" Target="https://www.boliga.dk/maegler/17518" TargetMode="External"/><Relationship Id="rId122" Type="http://schemas.openxmlformats.org/officeDocument/2006/relationships/hyperlink" Target="https://www.boliga.dk/maegler/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G1000"/>
  <sheetViews>
    <sheetView tabSelected="1" topLeftCell="A38" workbookViewId="0">
      <pane xSplit="2" topLeftCell="G1" activePane="topRight" state="frozen"/>
      <selection pane="topRight" activeCell="H29" sqref="H29"/>
    </sheetView>
  </sheetViews>
  <sheetFormatPr defaultColWidth="12.6328125" defaultRowHeight="15.75" customHeight="1"/>
  <cols>
    <col min="2" max="2" width="24.7265625" customWidth="1"/>
    <col min="3" max="3" width="11.453125" customWidth="1"/>
    <col min="4" max="4" width="20.90625" customWidth="1"/>
    <col min="5" max="5" width="19.36328125" customWidth="1"/>
    <col min="6" max="6" width="42.08984375" customWidth="1"/>
    <col min="7" max="7" width="47.7265625" bestFit="1" customWidth="1"/>
    <col min="22" max="22" width="25.08984375" customWidth="1"/>
  </cols>
  <sheetData>
    <row r="1" spans="1:33" ht="43.5">
      <c r="A1" s="2" t="s">
        <v>1</v>
      </c>
      <c r="B1" s="3" t="s">
        <v>2</v>
      </c>
      <c r="C1" s="4" t="s">
        <v>3</v>
      </c>
      <c r="D1" s="5" t="s">
        <v>4</v>
      </c>
      <c r="E1" s="3" t="s">
        <v>5</v>
      </c>
      <c r="F1" s="3" t="s">
        <v>6</v>
      </c>
      <c r="G1" s="6" t="s">
        <v>7</v>
      </c>
      <c r="H1" s="2" t="s">
        <v>8</v>
      </c>
      <c r="I1" s="3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7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7" t="s">
        <v>22</v>
      </c>
      <c r="W1" s="2" t="s">
        <v>23</v>
      </c>
      <c r="X1" s="8" t="s">
        <v>24</v>
      </c>
      <c r="Y1" s="9" t="s">
        <v>25</v>
      </c>
      <c r="Z1" s="10" t="s">
        <v>26</v>
      </c>
      <c r="AA1" s="9" t="s">
        <v>27</v>
      </c>
      <c r="AB1" s="11" t="s">
        <v>28</v>
      </c>
      <c r="AC1" s="11" t="s">
        <v>29</v>
      </c>
      <c r="AD1" s="12" t="s">
        <v>30</v>
      </c>
      <c r="AE1" s="12" t="s">
        <v>26</v>
      </c>
      <c r="AF1" s="12"/>
      <c r="AG1" s="12"/>
    </row>
    <row r="2" spans="1:33" ht="15.75" customHeight="1">
      <c r="A2" s="1" t="str">
        <f ca="1">IFERROR(__xludf.DUMMYFUNCTION("FILTER('MG-Premium-Martin'!A2:AE98,'MG-Premium-Martin'!Y2:Y98=""Ja"")"),"Martin")</f>
        <v>Martin</v>
      </c>
      <c r="B2" s="1" t="str">
        <f ca="1">IFERROR(__xludf.DUMMYFUNCTION("""COMPUTED_VALUE"""),"DB Larsen &amp; Larnæs")</f>
        <v>DB Larsen &amp; Larnæs</v>
      </c>
      <c r="C2" s="21">
        <f ca="1">IFERROR(__xludf.DUMMYFUNCTION("""COMPUTED_VALUE"""),28479662)</f>
        <v>28479662</v>
      </c>
      <c r="D2" s="21" t="str">
        <f ca="1">IFERROR(__xludf.DUMMYFUNCTION("""COMPUTED_VALUE"""),"MG-PM-SJ: 2.600,-")</f>
        <v>MG-PM-SJ: 2.600,-</v>
      </c>
      <c r="E2" s="21">
        <f ca="1">IFERROR(__xludf.DUMMYFUNCTION("""COMPUTED_VALUE"""),1204)</f>
        <v>1204</v>
      </c>
      <c r="F2" s="21"/>
      <c r="G2" s="1" t="str">
        <f ca="1">IFERROR(__xludf.DUMMYFUNCTION("""COMPUTED_VALUE"""),"anders.larsen@danbolig.dk")</f>
        <v>anders.larsen@danbolig.dk</v>
      </c>
      <c r="H2" s="1"/>
      <c r="I2" s="1" t="str">
        <f ca="1">IFERROR(__xludf.DUMMYFUNCTION("""COMPUTED_VALUE"""),"Usserød Kongevej 92 , Postboks 340")</f>
        <v>Usserød Kongevej 92 , Postboks 340</v>
      </c>
      <c r="J2" s="1">
        <f ca="1">IFERROR(__xludf.DUMMYFUNCTION("""COMPUTED_VALUE"""),2970)</f>
        <v>2970</v>
      </c>
      <c r="K2" s="1" t="str">
        <f ca="1">IFERROR(__xludf.DUMMYFUNCTION("""COMPUTED_VALUE"""),"Hørsholm")</f>
        <v>Hørsholm</v>
      </c>
      <c r="L2" s="1"/>
      <c r="M2" s="1"/>
      <c r="N2" s="1"/>
      <c r="O2" s="1" t="str">
        <f ca="1">IFERROR(__xludf.DUMMYFUNCTION("""COMPUTED_VALUE"""),"4576 1400")</f>
        <v>4576 1400</v>
      </c>
      <c r="P2" s="1" t="str">
        <f ca="1">IFERROR(__xludf.DUMMYFUNCTION("""COMPUTED_VALUE"""),"hoersholm@danbolig.dk")</f>
        <v>hoersholm@danbolig.dk</v>
      </c>
      <c r="Q2" s="26" t="str">
        <f ca="1">IFERROR(__xludf.DUMMYFUNCTION("""COMPUTED_VALUE"""),"https://www.boliga.dk/maegler/802")</f>
        <v>https://www.boliga.dk/maegler/802</v>
      </c>
      <c r="R2" s="1"/>
      <c r="S2" s="27"/>
      <c r="T2" s="27"/>
      <c r="U2" s="1"/>
      <c r="V2" s="1"/>
      <c r="W2" s="1"/>
      <c r="X2" s="1"/>
      <c r="Y2" s="1" t="str">
        <f ca="1">IFERROR(__xludf.DUMMYFUNCTION("""COMPUTED_VALUE"""),"ja")</f>
        <v>ja</v>
      </c>
      <c r="Z2" s="1"/>
      <c r="AA2" s="20"/>
      <c r="AB2" s="1"/>
      <c r="AC2" s="1"/>
      <c r="AD2" s="1"/>
      <c r="AE2" s="1"/>
    </row>
    <row r="3" spans="1:33" ht="15.75" customHeight="1">
      <c r="A3" s="1" t="str">
        <f ca="1">IFERROR(__xludf.DUMMYFUNCTION("""COMPUTED_VALUE"""),"Martin")</f>
        <v>Martin</v>
      </c>
      <c r="B3" s="1" t="str">
        <f ca="1">IFERROR(__xludf.DUMMYFUNCTION("""COMPUTED_VALUE"""),"DB Asnæs Sven Øvre")</f>
        <v>DB Asnæs Sven Øvre</v>
      </c>
      <c r="C3" s="21">
        <v>10161029</v>
      </c>
      <c r="D3" s="21" t="str">
        <f ca="1">IFERROR(__xludf.DUMMYFUNCTION("""COMPUTED_VALUE"""),"MG-PM-SJ: 2.600,-")</f>
        <v>MG-PM-SJ: 2.600,-</v>
      </c>
      <c r="E3" s="21">
        <f ca="1">IFERROR(__xludf.DUMMYFUNCTION("""COMPUTED_VALUE"""),1204)</f>
        <v>1204</v>
      </c>
      <c r="F3" s="21"/>
      <c r="G3" s="1" t="str">
        <f ca="1">IFERROR(__xludf.DUMMYFUNCTION("""COMPUTED_VALUE"""),"asnaes@danbolig.dk")</f>
        <v>asnaes@danbolig.dk</v>
      </c>
      <c r="H3" s="1"/>
      <c r="I3" s="1" t="str">
        <f ca="1">IFERROR(__xludf.DUMMYFUNCTION("""COMPUTED_VALUE"""),"Storegade 17")</f>
        <v>Storegade 17</v>
      </c>
      <c r="J3" s="1">
        <f ca="1">IFERROR(__xludf.DUMMYFUNCTION("""COMPUTED_VALUE"""),4550)</f>
        <v>4550</v>
      </c>
      <c r="K3" s="1" t="str">
        <f ca="1">IFERROR(__xludf.DUMMYFUNCTION("""COMPUTED_VALUE"""),"Asnæs")</f>
        <v>Asnæs</v>
      </c>
      <c r="L3" s="1"/>
      <c r="M3" s="1"/>
      <c r="N3" s="1"/>
      <c r="O3" s="1" t="str">
        <f ca="1">IFERROR(__xludf.DUMMYFUNCTION("""COMPUTED_VALUE"""),"5962 8404")</f>
        <v>5962 8404</v>
      </c>
      <c r="P3" s="1" t="str">
        <f ca="1">IFERROR(__xludf.DUMMYFUNCTION("""COMPUTED_VALUE"""),"asnaes@danbolig.dk")</f>
        <v>asnaes@danbolig.dk</v>
      </c>
      <c r="Q3" s="26" t="str">
        <f ca="1">IFERROR(__xludf.DUMMYFUNCTION("""COMPUTED_VALUE"""),"https://www.boliga.dk/maegler/18123")</f>
        <v>https://www.boliga.dk/maegler/18123</v>
      </c>
      <c r="R3" s="1"/>
      <c r="S3" s="27"/>
      <c r="T3" s="27"/>
      <c r="U3" s="1"/>
      <c r="V3" s="1"/>
      <c r="W3" s="1"/>
      <c r="X3" s="1"/>
      <c r="Y3" s="1" t="str">
        <f ca="1">IFERROR(__xludf.DUMMYFUNCTION("""COMPUTED_VALUE"""),"ja")</f>
        <v>ja</v>
      </c>
      <c r="Z3" s="1"/>
      <c r="AA3" s="20"/>
      <c r="AB3" s="1"/>
      <c r="AC3" s="1"/>
      <c r="AD3" s="1"/>
      <c r="AE3" s="1"/>
    </row>
    <row r="4" spans="1:33" ht="15.75" customHeight="1">
      <c r="A4" s="1" t="str">
        <f ca="1">IFERROR(__xludf.DUMMYFUNCTION("""COMPUTED_VALUE"""),"Martin")</f>
        <v>Martin</v>
      </c>
      <c r="B4" s="1" t="str">
        <f ca="1">IFERROR(__xludf.DUMMYFUNCTION("""COMPUTED_VALUE"""),"DB Helsingør V/Kim Nielsen &amp; Casper Nielsen")</f>
        <v>DB Helsingør V/Kim Nielsen &amp; Casper Nielsen</v>
      </c>
      <c r="C4" s="21">
        <f ca="1">IFERROR(__xludf.DUMMYFUNCTION("""COMPUTED_VALUE"""),26834627)</f>
        <v>26834627</v>
      </c>
      <c r="D4" s="21" t="str">
        <f ca="1">IFERROR(__xludf.DUMMYFUNCTION("""COMPUTED_VALUE"""),"MG-PM-SJ: 2.600,-")</f>
        <v>MG-PM-SJ: 2.600,-</v>
      </c>
      <c r="E4" s="21">
        <f ca="1">IFERROR(__xludf.DUMMYFUNCTION("""COMPUTED_VALUE"""),1204)</f>
        <v>1204</v>
      </c>
      <c r="F4" s="21"/>
      <c r="G4" s="1" t="str">
        <f ca="1">IFERROR(__xludf.DUMMYFUNCTION("""COMPUTED_VALUE"""),"Casper.nielsen@danbolig.dk")</f>
        <v>Casper.nielsen@danbolig.dk</v>
      </c>
      <c r="H4" s="1"/>
      <c r="I4" s="1" t="str">
        <f ca="1">IFERROR(__xludf.DUMMYFUNCTION("""COMPUTED_VALUE"""),"Kongensgade 2a")</f>
        <v>Kongensgade 2a</v>
      </c>
      <c r="J4" s="1">
        <f ca="1">IFERROR(__xludf.DUMMYFUNCTION("""COMPUTED_VALUE"""),3000)</f>
        <v>3000</v>
      </c>
      <c r="K4" s="1" t="str">
        <f ca="1">IFERROR(__xludf.DUMMYFUNCTION("""COMPUTED_VALUE"""),"Helsingør")</f>
        <v>Helsingør</v>
      </c>
      <c r="L4" s="1"/>
      <c r="M4" s="1"/>
      <c r="N4" s="1"/>
      <c r="O4" s="1" t="str">
        <f ca="1">IFERROR(__xludf.DUMMYFUNCTION("""COMPUTED_VALUE"""),"4926 1100")</f>
        <v>4926 1100</v>
      </c>
      <c r="P4" s="1" t="str">
        <f ca="1">IFERROR(__xludf.DUMMYFUNCTION("""COMPUTED_VALUE"""),"Helsingoer@DanBolig.dk")</f>
        <v>Helsingoer@DanBolig.dk</v>
      </c>
      <c r="Q4" s="26" t="str">
        <f ca="1">IFERROR(__xludf.DUMMYFUNCTION("""COMPUTED_VALUE"""),"https://www.boliga.dk/maegler/826")</f>
        <v>https://www.boliga.dk/maegler/826</v>
      </c>
      <c r="R4" s="1"/>
      <c r="S4" s="28"/>
      <c r="T4" s="27"/>
      <c r="U4" s="1"/>
      <c r="V4" s="1"/>
      <c r="W4" s="1"/>
      <c r="X4" s="1"/>
      <c r="Y4" s="1" t="str">
        <f ca="1">IFERROR(__xludf.DUMMYFUNCTION("""COMPUTED_VALUE"""),"ja")</f>
        <v>ja</v>
      </c>
      <c r="Z4" s="1"/>
      <c r="AA4" s="20"/>
      <c r="AB4" s="1"/>
      <c r="AC4" s="1"/>
      <c r="AD4" s="1"/>
      <c r="AE4" s="1"/>
    </row>
    <row r="5" spans="1:33" ht="15.75" customHeight="1">
      <c r="A5" s="1" t="str">
        <f ca="1">IFERROR(__xludf.DUMMYFUNCTION("""COMPUTED_VALUE"""),"Martin")</f>
        <v>Martin</v>
      </c>
      <c r="B5" s="1" t="str">
        <f ca="1">IFERROR(__xludf.DUMMYFUNCTION("""COMPUTED_VALUE"""),"DB Randers")</f>
        <v>DB Randers</v>
      </c>
      <c r="C5" s="21">
        <v>34731829</v>
      </c>
      <c r="D5" s="21" t="s">
        <v>0</v>
      </c>
      <c r="E5" s="21">
        <v>1203</v>
      </c>
      <c r="F5" s="21"/>
      <c r="G5" s="1" t="str">
        <f ca="1">IFERROR(__xludf.DUMMYFUNCTION("""COMPUTED_VALUE"""),"christian.mortensen@danbolig.dk")</f>
        <v>christian.mortensen@danbolig.dk</v>
      </c>
      <c r="H5" s="1"/>
      <c r="I5" s="1" t="str">
        <f ca="1">IFERROR(__xludf.DUMMYFUNCTION("""COMPUTED_VALUE"""),"Søndergade 3 - 5")</f>
        <v>Søndergade 3 - 5</v>
      </c>
      <c r="J5" s="1">
        <f ca="1">IFERROR(__xludf.DUMMYFUNCTION("""COMPUTED_VALUE"""),8900)</f>
        <v>8900</v>
      </c>
      <c r="K5" s="1" t="str">
        <f ca="1">IFERROR(__xludf.DUMMYFUNCTION("""COMPUTED_VALUE"""),"Randers C")</f>
        <v>Randers C</v>
      </c>
      <c r="L5" s="1"/>
      <c r="M5" s="1"/>
      <c r="N5" s="1"/>
      <c r="O5" s="1" t="str">
        <f ca="1">IFERROR(__xludf.DUMMYFUNCTION("""COMPUTED_VALUE"""),"8644 0204")</f>
        <v>8644 0204</v>
      </c>
      <c r="P5" s="1" t="str">
        <f ca="1">IFERROR(__xludf.DUMMYFUNCTION("""COMPUTED_VALUE"""),"randers@danbolig.dk")</f>
        <v>randers@danbolig.dk</v>
      </c>
      <c r="Q5" s="26" t="str">
        <f ca="1">IFERROR(__xludf.DUMMYFUNCTION("""COMPUTED_VALUE"""),"https://www.boliga.dk/maegler/18068")</f>
        <v>https://www.boliga.dk/maegler/18068</v>
      </c>
      <c r="R5" s="1"/>
      <c r="S5" s="27"/>
      <c r="T5" s="27"/>
      <c r="U5" s="1"/>
      <c r="V5" s="1"/>
      <c r="W5" s="1"/>
      <c r="X5" s="1"/>
      <c r="Y5" s="1" t="str">
        <f ca="1">IFERROR(__xludf.DUMMYFUNCTION("""COMPUTED_VALUE"""),"ja")</f>
        <v>ja</v>
      </c>
      <c r="Z5" s="1"/>
      <c r="AA5" s="20"/>
      <c r="AB5" s="1"/>
      <c r="AC5" s="1"/>
      <c r="AD5" s="1"/>
      <c r="AE5" s="1"/>
    </row>
    <row r="6" spans="1:33" ht="15.75" customHeight="1">
      <c r="A6" s="1" t="str">
        <f ca="1">IFERROR(__xludf.DUMMYFUNCTION("""COMPUTED_VALUE"""),"Martin")</f>
        <v>Martin</v>
      </c>
      <c r="B6" s="1" t="str">
        <f ca="1">IFERROR(__xludf.DUMMYFUNCTION("""COMPUTED_VALUE"""),"DB Gentofte")</f>
        <v>DB Gentofte</v>
      </c>
      <c r="C6" s="21">
        <f ca="1">IFERROR(__xludf.DUMMYFUNCTION("""COMPUTED_VALUE"""),31176050)</f>
        <v>31176050</v>
      </c>
      <c r="D6" s="21" t="str">
        <f ca="1">IFERROR(__xludf.DUMMYFUNCTION("""COMPUTED_VALUE"""),"MG-PM-SJ: 2.600,-")</f>
        <v>MG-PM-SJ: 2.600,-</v>
      </c>
      <c r="E6" s="21">
        <f ca="1">IFERROR(__xludf.DUMMYFUNCTION("""COMPUTED_VALUE"""),1204)</f>
        <v>1204</v>
      </c>
      <c r="F6" s="21"/>
      <c r="G6" s="1" t="str">
        <f ca="1">IFERROR(__xludf.DUMMYFUNCTION("""COMPUTED_VALUE"""),"Frederik.fausing@danbolig.dk")</f>
        <v>Frederik.fausing@danbolig.dk</v>
      </c>
      <c r="H6" s="1"/>
      <c r="I6" s="1" t="str">
        <f ca="1">IFERROR(__xludf.DUMMYFUNCTION("""COMPUTED_VALUE"""),"Gentoftegade 49")</f>
        <v>Gentoftegade 49</v>
      </c>
      <c r="J6" s="1">
        <f ca="1">IFERROR(__xludf.DUMMYFUNCTION("""COMPUTED_VALUE"""),2820)</f>
        <v>2820</v>
      </c>
      <c r="K6" s="1" t="str">
        <f ca="1">IFERROR(__xludf.DUMMYFUNCTION("""COMPUTED_VALUE"""),"Gentofte")</f>
        <v>Gentofte</v>
      </c>
      <c r="L6" s="1"/>
      <c r="M6" s="1"/>
      <c r="N6" s="1"/>
      <c r="O6" s="1" t="str">
        <f ca="1">IFERROR(__xludf.DUMMYFUNCTION("""COMPUTED_VALUE"""),"3940 8090")</f>
        <v>3940 8090</v>
      </c>
      <c r="P6" s="1" t="str">
        <f ca="1">IFERROR(__xludf.DUMMYFUNCTION("""COMPUTED_VALUE"""),"gentofte@danbolig.dk")</f>
        <v>gentofte@danbolig.dk</v>
      </c>
      <c r="Q6" s="26" t="str">
        <f ca="1">IFERROR(__xludf.DUMMYFUNCTION("""COMPUTED_VALUE"""),"https://www.boliga.dk/maegler/388")</f>
        <v>https://www.boliga.dk/maegler/388</v>
      </c>
      <c r="R6" s="1"/>
      <c r="S6" s="27"/>
      <c r="T6" s="27"/>
      <c r="U6" s="1"/>
      <c r="V6" s="1"/>
      <c r="W6" s="1"/>
      <c r="X6" s="1"/>
      <c r="Y6" s="1" t="str">
        <f ca="1">IFERROR(__xludf.DUMMYFUNCTION("""COMPUTED_VALUE"""),"ja")</f>
        <v>ja</v>
      </c>
      <c r="Z6" s="1"/>
      <c r="AA6" s="20"/>
      <c r="AB6" s="1"/>
      <c r="AC6" s="1"/>
      <c r="AD6" s="1"/>
      <c r="AE6" s="1"/>
    </row>
    <row r="7" spans="1:33" ht="15.75" customHeight="1">
      <c r="A7" s="1" t="str">
        <f ca="1">IFERROR(__xludf.DUMMYFUNCTION("""COMPUTED_VALUE"""),"Martin")</f>
        <v>Martin</v>
      </c>
      <c r="B7" s="1" t="str">
        <f ca="1">IFERROR(__xludf.DUMMYFUNCTION("""COMPUTED_VALUE"""),"DB Ballerup/Smørum - Henrik Dreyer &amp; Brian Dreyer Larsen")</f>
        <v>DB Ballerup/Smørum - Henrik Dreyer &amp; Brian Dreyer Larsen</v>
      </c>
      <c r="C7" s="21">
        <f ca="1">IFERROR(__xludf.DUMMYFUNCTION("""COMPUTED_VALUE"""),20944706)</f>
        <v>20944706</v>
      </c>
      <c r="D7" s="21" t="str">
        <f ca="1">IFERROR(__xludf.DUMMYFUNCTION("""COMPUTED_VALUE"""),"MG-PM-SJ: 2.600,-")</f>
        <v>MG-PM-SJ: 2.600,-</v>
      </c>
      <c r="E7" s="21">
        <f ca="1">IFERROR(__xludf.DUMMYFUNCTION("""COMPUTED_VALUE"""),1204)</f>
        <v>1204</v>
      </c>
      <c r="F7" s="21"/>
      <c r="G7" s="1" t="str">
        <f ca="1">IFERROR(__xludf.DUMMYFUNCTION("""COMPUTED_VALUE"""),"henrik.dreyer@danbolig.dk")</f>
        <v>henrik.dreyer@danbolig.dk</v>
      </c>
      <c r="H7" s="1"/>
      <c r="I7" s="1" t="str">
        <f ca="1">IFERROR(__xludf.DUMMYFUNCTION("""COMPUTED_VALUE"""),"Centrumgaden 14")</f>
        <v>Centrumgaden 14</v>
      </c>
      <c r="J7" s="1">
        <f ca="1">IFERROR(__xludf.DUMMYFUNCTION("""COMPUTED_VALUE"""),2750)</f>
        <v>2750</v>
      </c>
      <c r="K7" s="1" t="str">
        <f ca="1">IFERROR(__xludf.DUMMYFUNCTION("""COMPUTED_VALUE"""),"Ballerup")</f>
        <v>Ballerup</v>
      </c>
      <c r="L7" s="1"/>
      <c r="M7" s="1"/>
      <c r="N7" s="1"/>
      <c r="O7" s="1" t="str">
        <f ca="1">IFERROR(__xludf.DUMMYFUNCTION("""COMPUTED_VALUE"""),"4497 9126")</f>
        <v>4497 9126</v>
      </c>
      <c r="P7" s="1" t="str">
        <f ca="1">IFERROR(__xludf.DUMMYFUNCTION("""COMPUTED_VALUE"""),"ballerup-smoerum@danbolig.dk")</f>
        <v>ballerup-smoerum@danbolig.dk</v>
      </c>
      <c r="Q7" s="26" t="str">
        <f ca="1">IFERROR(__xludf.DUMMYFUNCTION("""COMPUTED_VALUE"""),"https://www.boliga.dk/maegler/299")</f>
        <v>https://www.boliga.dk/maegler/299</v>
      </c>
      <c r="R7" s="1"/>
      <c r="S7" s="27"/>
      <c r="T7" s="27"/>
      <c r="U7" s="1"/>
      <c r="V7" s="1"/>
      <c r="W7" s="1"/>
      <c r="X7" s="1"/>
      <c r="Y7" s="1" t="str">
        <f ca="1">IFERROR(__xludf.DUMMYFUNCTION("""COMPUTED_VALUE"""),"ja")</f>
        <v>ja</v>
      </c>
      <c r="Z7" s="1"/>
      <c r="AA7" s="20"/>
      <c r="AB7" s="1"/>
      <c r="AC7" s="1"/>
      <c r="AD7" s="1"/>
      <c r="AE7" s="1"/>
    </row>
    <row r="8" spans="1:33" ht="15.75" customHeight="1">
      <c r="A8" s="1" t="str">
        <f ca="1">IFERROR(__xludf.DUMMYFUNCTION("""COMPUTED_VALUE"""),"Martin")</f>
        <v>Martin</v>
      </c>
      <c r="B8" s="1" t="str">
        <f ca="1">IFERROR(__xludf.DUMMYFUNCTION("""COMPUTED_VALUE"""),"DB HOLBÆK - HENRIK LARSEN")</f>
        <v>DB HOLBÆK - HENRIK LARSEN</v>
      </c>
      <c r="C8" s="21">
        <f ca="1">IFERROR(__xludf.DUMMYFUNCTION("""COMPUTED_VALUE"""),29840644)</f>
        <v>29840644</v>
      </c>
      <c r="D8" s="21" t="str">
        <f ca="1">IFERROR(__xludf.DUMMYFUNCTION("""COMPUTED_VALUE"""),"MG-PM-SJ: 2.600,-")</f>
        <v>MG-PM-SJ: 2.600,-</v>
      </c>
      <c r="E8" s="21">
        <f ca="1">IFERROR(__xludf.DUMMYFUNCTION("""COMPUTED_VALUE"""),1204)</f>
        <v>1204</v>
      </c>
      <c r="F8" s="21"/>
      <c r="G8" s="1" t="str">
        <f ca="1">IFERROR(__xludf.DUMMYFUNCTION("""COMPUTED_VALUE"""),"henrik.larsen@danbolig.dk")</f>
        <v>henrik.larsen@danbolig.dk</v>
      </c>
      <c r="H8" s="1"/>
      <c r="I8" s="1" t="str">
        <f ca="1">IFERROR(__xludf.DUMMYFUNCTION("""COMPUTED_VALUE"""),"Ahlgade 24")</f>
        <v>Ahlgade 24</v>
      </c>
      <c r="J8" s="1">
        <f ca="1">IFERROR(__xludf.DUMMYFUNCTION("""COMPUTED_VALUE"""),4300)</f>
        <v>4300</v>
      </c>
      <c r="K8" s="1" t="str">
        <f ca="1">IFERROR(__xludf.DUMMYFUNCTION("""COMPUTED_VALUE"""),"Holbæk")</f>
        <v>Holbæk</v>
      </c>
      <c r="L8" s="1"/>
      <c r="M8" s="1"/>
      <c r="N8" s="1"/>
      <c r="O8" s="1" t="str">
        <f ca="1">IFERROR(__xludf.DUMMYFUNCTION("""COMPUTED_VALUE"""),"5944 1112")</f>
        <v>5944 1112</v>
      </c>
      <c r="P8" s="1" t="str">
        <f ca="1">IFERROR(__xludf.DUMMYFUNCTION("""COMPUTED_VALUE"""),"holbaek@danbolig.dk")</f>
        <v>holbaek@danbolig.dk</v>
      </c>
      <c r="Q8" s="26" t="str">
        <f ca="1">IFERROR(__xludf.DUMMYFUNCTION("""COMPUTED_VALUE"""),"https://www.boliga.dk/maegler/885")</f>
        <v>https://www.boliga.dk/maegler/885</v>
      </c>
      <c r="R8" s="1"/>
      <c r="S8" s="28"/>
      <c r="T8" s="28"/>
      <c r="U8" s="1"/>
      <c r="V8" s="1"/>
      <c r="W8" s="1"/>
      <c r="X8" s="1"/>
      <c r="Y8" s="1" t="str">
        <f ca="1">IFERROR(__xludf.DUMMYFUNCTION("""COMPUTED_VALUE"""),"ja")</f>
        <v>ja</v>
      </c>
      <c r="Z8" s="1"/>
      <c r="AA8" s="20"/>
      <c r="AB8" s="1"/>
      <c r="AC8" s="1"/>
      <c r="AD8" s="1"/>
      <c r="AE8" s="1"/>
    </row>
    <row r="9" spans="1:33" ht="15.75" customHeight="1">
      <c r="A9" s="1" t="str">
        <f ca="1">IFERROR(__xludf.DUMMYFUNCTION("""COMPUTED_VALUE"""),"Martin")</f>
        <v>Martin</v>
      </c>
      <c r="B9" s="1" t="str">
        <f ca="1">IFERROR(__xludf.DUMMYFUNCTION("""COMPUTED_VALUE"""),"DB Allerød")</f>
        <v>DB Allerød</v>
      </c>
      <c r="C9" s="21">
        <f ca="1">IFERROR(__xludf.DUMMYFUNCTION("""COMPUTED_VALUE"""),38380303)</f>
        <v>38380303</v>
      </c>
      <c r="D9" s="21" t="str">
        <f ca="1">IFERROR(__xludf.DUMMYFUNCTION("""COMPUTED_VALUE"""),"MG-PM-SJ: 2.600,-")</f>
        <v>MG-PM-SJ: 2.600,-</v>
      </c>
      <c r="E9" s="21">
        <f ca="1">IFERROR(__xludf.DUMMYFUNCTION("""COMPUTED_VALUE"""),1204)</f>
        <v>1204</v>
      </c>
      <c r="F9" s="21"/>
      <c r="G9" s="1" t="str">
        <f ca="1">IFERROR(__xludf.DUMMYFUNCTION("""COMPUTED_VALUE"""),"jan.persson@danbolig.dk")</f>
        <v>jan.persson@danbolig.dk</v>
      </c>
      <c r="H9" s="1"/>
      <c r="I9" s="1" t="str">
        <f ca="1">IFERROR(__xludf.DUMMYFUNCTION("""COMPUTED_VALUE"""),"Allerød Stationsvej 2e")</f>
        <v>Allerød Stationsvej 2e</v>
      </c>
      <c r="J9" s="1">
        <f ca="1">IFERROR(__xludf.DUMMYFUNCTION("""COMPUTED_VALUE"""),3450)</f>
        <v>3450</v>
      </c>
      <c r="K9" s="1" t="str">
        <f ca="1">IFERROR(__xludf.DUMMYFUNCTION("""COMPUTED_VALUE"""),"Allerød")</f>
        <v>Allerød</v>
      </c>
      <c r="L9" s="1"/>
      <c r="M9" s="1"/>
      <c r="N9" s="1"/>
      <c r="O9" s="1" t="str">
        <f ca="1">IFERROR(__xludf.DUMMYFUNCTION("""COMPUTED_VALUE"""),"4817 0008")</f>
        <v>4817 0008</v>
      </c>
      <c r="P9" s="1" t="str">
        <f ca="1">IFERROR(__xludf.DUMMYFUNCTION("""COMPUTED_VALUE"""),"alleroed@danbolig.dk")</f>
        <v>alleroed@danbolig.dk</v>
      </c>
      <c r="Q9" s="26" t="str">
        <f ca="1">IFERROR(__xludf.DUMMYFUNCTION("""COMPUTED_VALUE"""),"https://www.boliga.dk/maegler/162")</f>
        <v>https://www.boliga.dk/maegler/162</v>
      </c>
      <c r="R9" s="1"/>
      <c r="S9" s="27"/>
      <c r="T9" s="27"/>
      <c r="U9" s="1"/>
      <c r="V9" s="1"/>
      <c r="W9" s="1"/>
      <c r="X9" s="1"/>
      <c r="Y9" s="1" t="str">
        <f ca="1">IFERROR(__xludf.DUMMYFUNCTION("""COMPUTED_VALUE"""),"ja")</f>
        <v>ja</v>
      </c>
      <c r="Z9" s="1"/>
      <c r="AA9" s="20"/>
      <c r="AB9" s="1"/>
      <c r="AC9" s="1"/>
      <c r="AD9" s="1"/>
      <c r="AE9" s="1"/>
    </row>
    <row r="10" spans="1:33" ht="15.75" customHeight="1">
      <c r="A10" s="1" t="str">
        <f ca="1">IFERROR(__xludf.DUMMYFUNCTION("""COMPUTED_VALUE"""),"Martin")</f>
        <v>Martin</v>
      </c>
      <c r="B10" s="1" t="str">
        <f ca="1">IFERROR(__xludf.DUMMYFUNCTION("""COMPUTED_VALUE"""),"LokalBolig Charlottenlund/Klampenborg")</f>
        <v>LokalBolig Charlottenlund/Klampenborg</v>
      </c>
      <c r="C10" s="21">
        <f ca="1">IFERROR(__xludf.DUMMYFUNCTION("""COMPUTED_VALUE"""),37108537)</f>
        <v>37108537</v>
      </c>
      <c r="D10" s="21" t="str">
        <f ca="1">IFERROR(__xludf.DUMMYFUNCTION("""COMPUTED_VALUE"""),"MG-PM-SJ: 2.600,-")</f>
        <v>MG-PM-SJ: 2.600,-</v>
      </c>
      <c r="E10" s="21">
        <f ca="1">IFERROR(__xludf.DUMMYFUNCTION("""COMPUTED_VALUE"""),1204)</f>
        <v>1204</v>
      </c>
      <c r="F10" s="21"/>
      <c r="G10" s="1" t="str">
        <f ca="1">IFERROR(__xludf.DUMMYFUNCTION("""COMPUTED_VALUE"""),"jv@lokalbolig.dk")</f>
        <v>jv@lokalbolig.dk</v>
      </c>
      <c r="H10" s="1"/>
      <c r="I10" s="1" t="str">
        <f ca="1">IFERROR(__xludf.DUMMYFUNCTION("""COMPUTED_VALUE""")," Jensløvsvej 1, st.")</f>
        <v xml:space="preserve"> Jensløvsvej 1, st.</v>
      </c>
      <c r="J10" s="1">
        <f ca="1">IFERROR(__xludf.DUMMYFUNCTION("""COMPUTED_VALUE"""),2920)</f>
        <v>2920</v>
      </c>
      <c r="K10" s="1" t="str">
        <f ca="1">IFERROR(__xludf.DUMMYFUNCTION("""COMPUTED_VALUE"""),"Charlottenlund")</f>
        <v>Charlottenlund</v>
      </c>
      <c r="L10" s="1"/>
      <c r="M10" s="1"/>
      <c r="N10" s="1"/>
      <c r="O10" s="1" t="str">
        <f ca="1">IFERROR(__xludf.DUMMYFUNCTION("""COMPUTED_VALUE"""),"39 62 66 00")</f>
        <v>39 62 66 00</v>
      </c>
      <c r="P10" s="1" t="str">
        <f ca="1">IFERROR(__xludf.DUMMYFUNCTION("""COMPUTED_VALUE"""),"charlottenlund@lokalbolig.dk")</f>
        <v>charlottenlund@lokalbolig.dk</v>
      </c>
      <c r="Q10" s="26" t="str">
        <f ca="1">IFERROR(__xludf.DUMMYFUNCTION("""COMPUTED_VALUE"""),"https://www.boliga.dk/maegler/20288")</f>
        <v>https://www.boliga.dk/maegler/20288</v>
      </c>
      <c r="R10" s="1"/>
      <c r="S10" s="28"/>
      <c r="T10" s="1"/>
      <c r="U10" s="1"/>
      <c r="V10" s="1"/>
      <c r="W10" s="1"/>
      <c r="X10" s="1"/>
      <c r="Y10" s="1" t="str">
        <f ca="1">IFERROR(__xludf.DUMMYFUNCTION("""COMPUTED_VALUE"""),"ja")</f>
        <v>ja</v>
      </c>
      <c r="Z10" s="1"/>
      <c r="AA10" s="20"/>
      <c r="AB10" s="1"/>
      <c r="AC10" s="1"/>
      <c r="AD10" s="1"/>
      <c r="AE10" s="1"/>
    </row>
    <row r="11" spans="1:33" ht="15.75" customHeight="1">
      <c r="A11" s="1" t="str">
        <f ca="1">IFERROR(__xludf.DUMMYFUNCTION("""COMPUTED_VALUE"""),"Martin")</f>
        <v>Martin</v>
      </c>
      <c r="B11" s="1" t="str">
        <f ca="1">IFERROR(__xludf.DUMMYFUNCTION("""COMPUTED_VALUE"""),"LOKALBOLIG GENTOFTE")</f>
        <v>LOKALBOLIG GENTOFTE</v>
      </c>
      <c r="C11" s="21">
        <f ca="1">IFERROR(__xludf.DUMMYFUNCTION("""COMPUTED_VALUE"""),38908448)</f>
        <v>38908448</v>
      </c>
      <c r="D11" s="21" t="str">
        <f ca="1">IFERROR(__xludf.DUMMYFUNCTION("""COMPUTED_VALUE"""),"MG-PM-SJ: 2.600,-")</f>
        <v>MG-PM-SJ: 2.600,-</v>
      </c>
      <c r="E11" s="21">
        <f ca="1">IFERROR(__xludf.DUMMYFUNCTION("""COMPUTED_VALUE"""),1204)</f>
        <v>1204</v>
      </c>
      <c r="F11" s="21"/>
      <c r="G11" s="1" t="str">
        <f ca="1">IFERROR(__xludf.DUMMYFUNCTION("""COMPUTED_VALUE"""),"jv@lokalbolig.dk")</f>
        <v>jv@lokalbolig.dk</v>
      </c>
      <c r="H11" s="1"/>
      <c r="I11" s="1" t="str">
        <f ca="1">IFERROR(__xludf.DUMMYFUNCTION("""COMPUTED_VALUE"""),"Gentoftegade 34")</f>
        <v>Gentoftegade 34</v>
      </c>
      <c r="J11" s="1">
        <f ca="1">IFERROR(__xludf.DUMMYFUNCTION("""COMPUTED_VALUE"""),2820)</f>
        <v>2820</v>
      </c>
      <c r="K11" s="1" t="str">
        <f ca="1">IFERROR(__xludf.DUMMYFUNCTION("""COMPUTED_VALUE"""),"Gentofte")</f>
        <v>Gentofte</v>
      </c>
      <c r="L11" s="1"/>
      <c r="M11" s="1"/>
      <c r="N11" s="1"/>
      <c r="O11" s="1">
        <f ca="1">IFERROR(__xludf.DUMMYFUNCTION("""COMPUTED_VALUE"""),39626600)</f>
        <v>39626600</v>
      </c>
      <c r="P11" s="1" t="str">
        <f ca="1">IFERROR(__xludf.DUMMYFUNCTION("""COMPUTED_VALUE"""),"gentofte@lokalbolig.dk")</f>
        <v>gentofte@lokalbolig.dk</v>
      </c>
      <c r="Q11" s="26" t="str">
        <f ca="1">IFERROR(__xludf.DUMMYFUNCTION("""COMPUTED_VALUE"""),"https://www.boliga.dk/maegler/19306")</f>
        <v>https://www.boliga.dk/maegler/19306</v>
      </c>
      <c r="R11" s="1"/>
      <c r="S11" s="27"/>
      <c r="T11" s="1"/>
      <c r="U11" s="1"/>
      <c r="V11" s="1"/>
      <c r="W11" s="1"/>
      <c r="X11" s="1"/>
      <c r="Y11" s="1" t="str">
        <f ca="1">IFERROR(__xludf.DUMMYFUNCTION("""COMPUTED_VALUE"""),"ja")</f>
        <v>ja</v>
      </c>
      <c r="Z11" s="1"/>
      <c r="AA11" s="20"/>
      <c r="AB11" s="1"/>
      <c r="AC11" s="1"/>
      <c r="AD11" s="1"/>
      <c r="AE11" s="1"/>
    </row>
    <row r="12" spans="1:33" ht="15.75" customHeight="1">
      <c r="A12" s="1" t="str">
        <f ca="1">IFERROR(__xludf.DUMMYFUNCTION("""COMPUTED_VALUE"""),"Martin")</f>
        <v>Martin</v>
      </c>
      <c r="B12" s="1" t="str">
        <f ca="1">IFERROR(__xludf.DUMMYFUNCTION("""COMPUTED_VALUE"""),"LOKALBOLIG HELLERUP")</f>
        <v>LOKALBOLIG HELLERUP</v>
      </c>
      <c r="C12" s="21">
        <f ca="1">IFERROR(__xludf.DUMMYFUNCTION("""COMPUTED_VALUE"""),31363551)</f>
        <v>31363551</v>
      </c>
      <c r="D12" s="21" t="str">
        <f ca="1">IFERROR(__xludf.DUMMYFUNCTION("""COMPUTED_VALUE"""),"MG-PM-SJ: 2.600,-")</f>
        <v>MG-PM-SJ: 2.600,-</v>
      </c>
      <c r="E12" s="21">
        <f ca="1">IFERROR(__xludf.DUMMYFUNCTION("""COMPUTED_VALUE"""),1204)</f>
        <v>1204</v>
      </c>
      <c r="F12" s="21"/>
      <c r="G12" s="1" t="str">
        <f ca="1">IFERROR(__xludf.DUMMYFUNCTION("""COMPUTED_VALUE"""),"jv@lokalbolig.dk")</f>
        <v>jv@lokalbolig.dk</v>
      </c>
      <c r="H12" s="1"/>
      <c r="I12" s="1" t="str">
        <f ca="1">IFERROR(__xludf.DUMMYFUNCTION("""COMPUTED_VALUE"""),"Strandvejen 130C")</f>
        <v>Strandvejen 130C</v>
      </c>
      <c r="J12" s="1">
        <f ca="1">IFERROR(__xludf.DUMMYFUNCTION("""COMPUTED_VALUE"""),2900)</f>
        <v>2900</v>
      </c>
      <c r="K12" s="1" t="str">
        <f ca="1">IFERROR(__xludf.DUMMYFUNCTION("""COMPUTED_VALUE"""),"Hellerup")</f>
        <v>Hellerup</v>
      </c>
      <c r="L12" s="1"/>
      <c r="M12" s="1"/>
      <c r="N12" s="1"/>
      <c r="O12" s="1" t="str">
        <f ca="1">IFERROR(__xludf.DUMMYFUNCTION("""COMPUTED_VALUE"""),"39 62 66 00")</f>
        <v>39 62 66 00</v>
      </c>
      <c r="P12" s="1" t="str">
        <f ca="1">IFERROR(__xludf.DUMMYFUNCTION("""COMPUTED_VALUE"""),"hellerup@lokalbolig.dk")</f>
        <v>hellerup@lokalbolig.dk</v>
      </c>
      <c r="Q12" s="26" t="str">
        <f ca="1">IFERROR(__xludf.DUMMYFUNCTION("""COMPUTED_VALUE"""),"https://www.boliga.dk/maegler/19239")</f>
        <v>https://www.boliga.dk/maegler/19239</v>
      </c>
      <c r="R12" s="1"/>
      <c r="S12" s="27"/>
      <c r="T12" s="1"/>
      <c r="U12" s="1"/>
      <c r="V12" s="1"/>
      <c r="W12" s="1"/>
      <c r="X12" s="1"/>
      <c r="Y12" s="1" t="str">
        <f ca="1">IFERROR(__xludf.DUMMYFUNCTION("""COMPUTED_VALUE"""),"ja")</f>
        <v>ja</v>
      </c>
      <c r="Z12" s="1"/>
      <c r="AA12" s="20"/>
      <c r="AB12" s="1"/>
      <c r="AC12" s="1"/>
      <c r="AD12" s="1"/>
      <c r="AE12" s="1"/>
    </row>
    <row r="13" spans="1:33" ht="15.75" customHeight="1">
      <c r="A13" s="1" t="str">
        <f ca="1">IFERROR(__xludf.DUMMYFUNCTION("""COMPUTED_VALUE"""),"Martin")</f>
        <v>Martin</v>
      </c>
      <c r="B13" s="1" t="str">
        <f ca="1">IFERROR(__xludf.DUMMYFUNCTION("""COMPUTED_VALUE"""),"DB Ringsted")</f>
        <v>DB Ringsted</v>
      </c>
      <c r="C13" s="21">
        <f ca="1">IFERROR(__xludf.DUMMYFUNCTION("""COMPUTED_VALUE"""),31328276)</f>
        <v>31328276</v>
      </c>
      <c r="D13" s="21" t="str">
        <f ca="1">IFERROR(__xludf.DUMMYFUNCTION("""COMPUTED_VALUE"""),"MG-PM-SJ: 2.600,-")</f>
        <v>MG-PM-SJ: 2.600,-</v>
      </c>
      <c r="E13" s="21">
        <f ca="1">IFERROR(__xludf.DUMMYFUNCTION("""COMPUTED_VALUE"""),1204)</f>
        <v>1204</v>
      </c>
      <c r="F13" s="21"/>
      <c r="G13" s="1" t="str">
        <f ca="1">IFERROR(__xludf.DUMMYFUNCTION("""COMPUTED_VALUE"""),"Kenneth.thiemke@danbolig.dk")</f>
        <v>Kenneth.thiemke@danbolig.dk</v>
      </c>
      <c r="H13" s="1"/>
      <c r="I13" s="1" t="str">
        <f ca="1">IFERROR(__xludf.DUMMYFUNCTION("""COMPUTED_VALUE"""),"Nørregade 46")</f>
        <v>Nørregade 46</v>
      </c>
      <c r="J13" s="1">
        <f ca="1">IFERROR(__xludf.DUMMYFUNCTION("""COMPUTED_VALUE"""),4100)</f>
        <v>4100</v>
      </c>
      <c r="K13" s="1" t="str">
        <f ca="1">IFERROR(__xludf.DUMMYFUNCTION("""COMPUTED_VALUE"""),"Ringsted")</f>
        <v>Ringsted</v>
      </c>
      <c r="L13" s="1"/>
      <c r="M13" s="1"/>
      <c r="N13" s="1"/>
      <c r="O13" s="1">
        <f ca="1">IFERROR(__xludf.DUMMYFUNCTION("""COMPUTED_VALUE"""),57660610)</f>
        <v>57660610</v>
      </c>
      <c r="P13" s="1" t="str">
        <f ca="1">IFERROR(__xludf.DUMMYFUNCTION("""COMPUTED_VALUE"""),"ringsted@danbolig.dk")</f>
        <v>ringsted@danbolig.dk</v>
      </c>
      <c r="Q13" s="26" t="str">
        <f ca="1">IFERROR(__xludf.DUMMYFUNCTION("""COMPUTED_VALUE"""),"https://www.boliga.dk/maegler/22726")</f>
        <v>https://www.boliga.dk/maegler/22726</v>
      </c>
      <c r="R13" s="1"/>
      <c r="S13" s="27"/>
      <c r="T13" s="1"/>
      <c r="U13" s="1"/>
      <c r="V13" s="1"/>
      <c r="W13" s="1"/>
      <c r="X13" s="1"/>
      <c r="Y13" s="1" t="str">
        <f ca="1">IFERROR(__xludf.DUMMYFUNCTION("""COMPUTED_VALUE"""),"ja")</f>
        <v>ja</v>
      </c>
      <c r="Z13" s="1"/>
      <c r="AA13" s="20"/>
      <c r="AB13" s="1"/>
      <c r="AC13" s="1"/>
      <c r="AD13" s="1"/>
      <c r="AE13" s="1"/>
    </row>
    <row r="14" spans="1:33" ht="15.75" customHeight="1">
      <c r="A14" s="1" t="str">
        <f ca="1">IFERROR(__xludf.DUMMYFUNCTION("""COMPUTED_VALUE"""),"Martin")</f>
        <v>Martin</v>
      </c>
      <c r="B14" s="1" t="str">
        <f ca="1">IFERROR(__xludf.DUMMYFUNCTION("""COMPUTED_VALUE"""),"DB RØDOVRE")</f>
        <v>DB RØDOVRE</v>
      </c>
      <c r="C14" s="21">
        <f ca="1">IFERROR(__xludf.DUMMYFUNCTION("""COMPUTED_VALUE"""),30541340)</f>
        <v>30541340</v>
      </c>
      <c r="D14" s="21" t="str">
        <f ca="1">IFERROR(__xludf.DUMMYFUNCTION("""COMPUTED_VALUE"""),"MG-PM-SJ: 2.600,-")</f>
        <v>MG-PM-SJ: 2.600,-</v>
      </c>
      <c r="E14" s="21">
        <f ca="1">IFERROR(__xludf.DUMMYFUNCTION("""COMPUTED_VALUE"""),1204)</f>
        <v>1204</v>
      </c>
      <c r="F14" s="21"/>
      <c r="G14" s="1" t="str">
        <f ca="1">IFERROR(__xludf.DUMMYFUNCTION("""COMPUTED_VALUE"""),"Kenneth.thiemke@danbolig.dk")</f>
        <v>Kenneth.thiemke@danbolig.dk</v>
      </c>
      <c r="H14" s="1"/>
      <c r="I14" s="1" t="str">
        <f ca="1">IFERROR(__xludf.DUMMYFUNCTION("""COMPUTED_VALUE"""),"Rødovrevej 265")</f>
        <v>Rødovrevej 265</v>
      </c>
      <c r="J14" s="1">
        <f ca="1">IFERROR(__xludf.DUMMYFUNCTION("""COMPUTED_VALUE"""),2610)</f>
        <v>2610</v>
      </c>
      <c r="K14" s="1" t="str">
        <f ca="1">IFERROR(__xludf.DUMMYFUNCTION("""COMPUTED_VALUE"""),"Rødovre")</f>
        <v>Rødovre</v>
      </c>
      <c r="L14" s="1"/>
      <c r="M14" s="1"/>
      <c r="N14" s="1"/>
      <c r="O14" s="1" t="str">
        <f ca="1">IFERROR(__xludf.DUMMYFUNCTION("""COMPUTED_VALUE"""),"3641 4444")</f>
        <v>3641 4444</v>
      </c>
      <c r="P14" s="1" t="str">
        <f ca="1">IFERROR(__xludf.DUMMYFUNCTION("""COMPUTED_VALUE"""),"Roedovre@danbolig.dk")</f>
        <v>Roedovre@danbolig.dk</v>
      </c>
      <c r="Q14" s="26" t="str">
        <f ca="1">IFERROR(__xludf.DUMMYFUNCTION("""COMPUTED_VALUE"""),"https://www.boliga.dk/maegler/303")</f>
        <v>https://www.boliga.dk/maegler/303</v>
      </c>
      <c r="R14" s="1"/>
      <c r="S14" s="27"/>
      <c r="T14" s="1"/>
      <c r="U14" s="1"/>
      <c r="V14" s="1"/>
      <c r="W14" s="1"/>
      <c r="X14" s="1"/>
      <c r="Y14" s="1" t="str">
        <f ca="1">IFERROR(__xludf.DUMMYFUNCTION("""COMPUTED_VALUE"""),"ja")</f>
        <v>ja</v>
      </c>
      <c r="Z14" s="1"/>
      <c r="AA14" s="20"/>
      <c r="AB14" s="1"/>
      <c r="AC14" s="1"/>
      <c r="AD14" s="1"/>
      <c r="AE14" s="1"/>
    </row>
    <row r="15" spans="1:33" ht="15.75" customHeight="1">
      <c r="A15" s="1" t="str">
        <f ca="1">IFERROR(__xludf.DUMMYFUNCTION("""COMPUTED_VALUE"""),"Martin")</f>
        <v>Martin</v>
      </c>
      <c r="B15" s="1" t="str">
        <f ca="1">IFERROR(__xludf.DUMMYFUNCTION("""COMPUTED_VALUE"""),"DB Sorø")</f>
        <v>DB Sorø</v>
      </c>
      <c r="C15" s="21">
        <f ca="1">IFERROR(__xludf.DUMMYFUNCTION("""COMPUTED_VALUE"""),31328241)</f>
        <v>31328241</v>
      </c>
      <c r="D15" s="21" t="str">
        <f ca="1">IFERROR(__xludf.DUMMYFUNCTION("""COMPUTED_VALUE"""),"MG-PM-SJ: 2.600,-")</f>
        <v>MG-PM-SJ: 2.600,-</v>
      </c>
      <c r="E15" s="21">
        <f ca="1">IFERROR(__xludf.DUMMYFUNCTION("""COMPUTED_VALUE"""),1204)</f>
        <v>1204</v>
      </c>
      <c r="F15" s="21"/>
      <c r="G15" s="1" t="str">
        <f ca="1">IFERROR(__xludf.DUMMYFUNCTION("""COMPUTED_VALUE"""),"Kenneth.thiemke@danbolig.dk")</f>
        <v>Kenneth.thiemke@danbolig.dk</v>
      </c>
      <c r="H15" s="1"/>
      <c r="I15" s="1" t="str">
        <f ca="1">IFERROR(__xludf.DUMMYFUNCTION("""COMPUTED_VALUE"""),"Storgade 3")</f>
        <v>Storgade 3</v>
      </c>
      <c r="J15" s="1">
        <f ca="1">IFERROR(__xludf.DUMMYFUNCTION("""COMPUTED_VALUE"""),4180)</f>
        <v>4180</v>
      </c>
      <c r="K15" s="1" t="str">
        <f ca="1">IFERROR(__xludf.DUMMYFUNCTION("""COMPUTED_VALUE"""),"Sorø")</f>
        <v>Sorø</v>
      </c>
      <c r="L15" s="1"/>
      <c r="M15" s="1"/>
      <c r="N15" s="1"/>
      <c r="O15" s="1">
        <f ca="1">IFERROR(__xludf.DUMMYFUNCTION("""COMPUTED_VALUE"""),58242500)</f>
        <v>58242500</v>
      </c>
      <c r="P15" s="1" t="str">
        <f ca="1">IFERROR(__xludf.DUMMYFUNCTION("""COMPUTED_VALUE"""),"soroe@danbolig.dk")</f>
        <v>soroe@danbolig.dk</v>
      </c>
      <c r="Q15" s="26" t="str">
        <f ca="1">IFERROR(__xludf.DUMMYFUNCTION("""COMPUTED_VALUE"""),"https://www.boliga.dk/maegler/25268")</f>
        <v>https://www.boliga.dk/maegler/25268</v>
      </c>
      <c r="R15" s="1"/>
      <c r="S15" s="27"/>
      <c r="T15" s="1"/>
      <c r="U15" s="1"/>
      <c r="V15" s="1"/>
      <c r="W15" s="1"/>
      <c r="X15" s="1"/>
      <c r="Y15" s="1" t="str">
        <f ca="1">IFERROR(__xludf.DUMMYFUNCTION("""COMPUTED_VALUE"""),"ja")</f>
        <v>ja</v>
      </c>
      <c r="Z15" s="1"/>
      <c r="AA15" s="20"/>
      <c r="AB15" s="1"/>
      <c r="AC15" s="1"/>
      <c r="AD15" s="1"/>
      <c r="AE15" s="1"/>
    </row>
    <row r="16" spans="1:33" ht="15.75" customHeight="1">
      <c r="A16" s="1" t="str">
        <f ca="1">IFERROR(__xludf.DUMMYFUNCTION("""COMPUTED_VALUE"""),"Martin")</f>
        <v>Martin</v>
      </c>
      <c r="B16" s="1" t="str">
        <f ca="1">IFERROR(__xludf.DUMMYFUNCTION("""COMPUTED_VALUE"""),"DB TAASTRUP / HEDEHUSENE")</f>
        <v>DB TAASTRUP / HEDEHUSENE</v>
      </c>
      <c r="C16" s="21">
        <f ca="1">IFERROR(__xludf.DUMMYFUNCTION("""COMPUTED_VALUE"""),30541413)</f>
        <v>30541413</v>
      </c>
      <c r="D16" s="21" t="str">
        <f ca="1">IFERROR(__xludf.DUMMYFUNCTION("""COMPUTED_VALUE"""),"MG-PM-SJ: 2.600,-")</f>
        <v>MG-PM-SJ: 2.600,-</v>
      </c>
      <c r="E16" s="21">
        <f ca="1">IFERROR(__xludf.DUMMYFUNCTION("""COMPUTED_VALUE"""),1204)</f>
        <v>1204</v>
      </c>
      <c r="F16" s="21"/>
      <c r="G16" s="1" t="str">
        <f ca="1">IFERROR(__xludf.DUMMYFUNCTION("""COMPUTED_VALUE"""),"Kenneth.thiemke@danbolig.dk")</f>
        <v>Kenneth.thiemke@danbolig.dk</v>
      </c>
      <c r="H16" s="1"/>
      <c r="I16" s="1" t="str">
        <f ca="1">IFERROR(__xludf.DUMMYFUNCTION("""COMPUTED_VALUE"""),"Tåstrup Hovedgade 10")</f>
        <v>Tåstrup Hovedgade 10</v>
      </c>
      <c r="J16" s="1">
        <f ca="1">IFERROR(__xludf.DUMMYFUNCTION("""COMPUTED_VALUE"""),2630)</f>
        <v>2630</v>
      </c>
      <c r="K16" s="1" t="str">
        <f ca="1">IFERROR(__xludf.DUMMYFUNCTION("""COMPUTED_VALUE"""),"Tåstrup")</f>
        <v>Tåstrup</v>
      </c>
      <c r="L16" s="1"/>
      <c r="M16" s="1"/>
      <c r="N16" s="1"/>
      <c r="O16" s="1" t="str">
        <f ca="1">IFERROR(__xludf.DUMMYFUNCTION("""COMPUTED_VALUE"""),"4371 0029")</f>
        <v>4371 0029</v>
      </c>
      <c r="P16" s="1" t="str">
        <f ca="1">IFERROR(__xludf.DUMMYFUNCTION("""COMPUTED_VALUE"""),"Taastrup@danbolig.dk")</f>
        <v>Taastrup@danbolig.dk</v>
      </c>
      <c r="Q16" s="26" t="str">
        <f ca="1">IFERROR(__xludf.DUMMYFUNCTION("""COMPUTED_VALUE"""),"https://www.boliga.dk/maegler/1031")</f>
        <v>https://www.boliga.dk/maegler/1031</v>
      </c>
      <c r="R16" s="1"/>
      <c r="S16" s="27"/>
      <c r="T16" s="1"/>
      <c r="U16" s="1"/>
      <c r="V16" s="1"/>
      <c r="W16" s="1"/>
      <c r="X16" s="1"/>
      <c r="Y16" s="1" t="str">
        <f ca="1">IFERROR(__xludf.DUMMYFUNCTION("""COMPUTED_VALUE"""),"ja")</f>
        <v>ja</v>
      </c>
      <c r="Z16" s="1"/>
      <c r="AA16" s="20"/>
      <c r="AB16" s="1"/>
      <c r="AC16" s="1"/>
      <c r="AD16" s="1"/>
      <c r="AE16" s="1"/>
    </row>
    <row r="17" spans="1:31" ht="15.75" customHeight="1">
      <c r="A17" s="1" t="str">
        <f ca="1">IFERROR(__xludf.DUMMYFUNCTION("""COMPUTED_VALUE"""),"Martin")</f>
        <v>Martin</v>
      </c>
      <c r="B17" s="1" t="str">
        <f ca="1">IFERROR(__xludf.DUMMYFUNCTION("""COMPUTED_VALUE"""),"DB Birkerød")</f>
        <v>DB Birkerød</v>
      </c>
      <c r="C17" s="21">
        <f ca="1">IFERROR(__xludf.DUMMYFUNCTION("""COMPUTED_VALUE"""),35231633)</f>
        <v>35231633</v>
      </c>
      <c r="D17" s="21" t="str">
        <f ca="1">IFERROR(__xludf.DUMMYFUNCTION("""COMPUTED_VALUE"""),"MG-PM-SJ: 2.600,-")</f>
        <v>MG-PM-SJ: 2.600,-</v>
      </c>
      <c r="E17" s="21">
        <f ca="1">IFERROR(__xludf.DUMMYFUNCTION("""COMPUTED_VALUE"""),1204)</f>
        <v>1204</v>
      </c>
      <c r="F17" s="21"/>
      <c r="G17" s="1" t="str">
        <f ca="1">IFERROR(__xludf.DUMMYFUNCTION("""COMPUTED_VALUE"""),"lars.holm@danbolig.dk")</f>
        <v>lars.holm@danbolig.dk</v>
      </c>
      <c r="H17" s="1"/>
      <c r="I17" s="1" t="str">
        <f ca="1">IFERROR(__xludf.DUMMYFUNCTION("""COMPUTED_VALUE"""),"Hovedgaden 39")</f>
        <v>Hovedgaden 39</v>
      </c>
      <c r="J17" s="1">
        <f ca="1">IFERROR(__xludf.DUMMYFUNCTION("""COMPUTED_VALUE"""),3460)</f>
        <v>3460</v>
      </c>
      <c r="K17" s="1" t="str">
        <f ca="1">IFERROR(__xludf.DUMMYFUNCTION("""COMPUTED_VALUE"""),"Birkerød")</f>
        <v>Birkerød</v>
      </c>
      <c r="L17" s="1"/>
      <c r="M17" s="1"/>
      <c r="N17" s="1"/>
      <c r="O17" s="1" t="str">
        <f ca="1">IFERROR(__xludf.DUMMYFUNCTION("""COMPUTED_VALUE"""),"4581 4581")</f>
        <v>4581 4581</v>
      </c>
      <c r="P17" s="1" t="str">
        <f ca="1">IFERROR(__xludf.DUMMYFUNCTION("""COMPUTED_VALUE"""),"birkeroed@danbolig.dk")</f>
        <v>birkeroed@danbolig.dk</v>
      </c>
      <c r="Q17" s="26" t="str">
        <f ca="1">IFERROR(__xludf.DUMMYFUNCTION("""COMPUTED_VALUE"""),"https://www.boliga.dk/maegler/277")</f>
        <v>https://www.boliga.dk/maegler/277</v>
      </c>
      <c r="R17" s="1"/>
      <c r="S17" s="27"/>
      <c r="T17" s="1"/>
      <c r="U17" s="1"/>
      <c r="V17" s="1"/>
      <c r="W17" s="1"/>
      <c r="X17" s="1"/>
      <c r="Y17" s="1" t="str">
        <f ca="1">IFERROR(__xludf.DUMMYFUNCTION("""COMPUTED_VALUE"""),"ja")</f>
        <v>ja</v>
      </c>
      <c r="Z17" s="1"/>
      <c r="AA17" s="20"/>
      <c r="AB17" s="1"/>
      <c r="AC17" s="1"/>
      <c r="AD17" s="1"/>
      <c r="AE17" s="1"/>
    </row>
    <row r="18" spans="1:31" ht="15.75" customHeight="1">
      <c r="A18" s="1" t="str">
        <f ca="1">IFERROR(__xludf.DUMMYFUNCTION("""COMPUTED_VALUE"""),"Martin")</f>
        <v>Martin</v>
      </c>
      <c r="B18" s="1" t="str">
        <f ca="1">IFERROR(__xludf.DUMMYFUNCTION("""COMPUTED_VALUE"""),"Holm &amp; Hauberg BoligCenter Valby/København SV")</f>
        <v>Holm &amp; Hauberg BoligCenter Valby/København SV</v>
      </c>
      <c r="C18" s="21">
        <f ca="1">IFERROR(__xludf.DUMMYFUNCTION("""COMPUTED_VALUE"""),26671221)</f>
        <v>26671221</v>
      </c>
      <c r="D18" s="21" t="str">
        <f ca="1">IFERROR(__xludf.DUMMYFUNCTION("""COMPUTED_VALUE"""),"MG-PM-SJ: 2.600,-")</f>
        <v>MG-PM-SJ: 2.600,-</v>
      </c>
      <c r="E18" s="21">
        <f ca="1">IFERROR(__xludf.DUMMYFUNCTION("""COMPUTED_VALUE"""),1204)</f>
        <v>1204</v>
      </c>
      <c r="F18" s="21"/>
      <c r="G18" s="1" t="str">
        <f ca="1">IFERROR(__xludf.DUMMYFUNCTION("""COMPUTED_VALUE"""),"morten.hauberg@danbolig.dk")</f>
        <v>morten.hauberg@danbolig.dk</v>
      </c>
      <c r="H18" s="1"/>
      <c r="I18" s="1" t="str">
        <f ca="1">IFERROR(__xludf.DUMMYFUNCTION("""COMPUTED_VALUE"""),"Valby Langgade 114")</f>
        <v>Valby Langgade 114</v>
      </c>
      <c r="J18" s="1">
        <f ca="1">IFERROR(__xludf.DUMMYFUNCTION("""COMPUTED_VALUE"""),2500)</f>
        <v>2500</v>
      </c>
      <c r="K18" s="1" t="str">
        <f ca="1">IFERROR(__xludf.DUMMYFUNCTION("""COMPUTED_VALUE"""),"Valby")</f>
        <v>Valby</v>
      </c>
      <c r="L18" s="1"/>
      <c r="M18" s="1"/>
      <c r="N18" s="1"/>
      <c r="O18" s="1" t="str">
        <f ca="1">IFERROR(__xludf.DUMMYFUNCTION("""COMPUTED_VALUE"""),"3646 1444")</f>
        <v>3646 1444</v>
      </c>
      <c r="P18" s="1" t="str">
        <f ca="1">IFERROR(__xludf.DUMMYFUNCTION("""COMPUTED_VALUE"""),"valby@danbolig.dk")</f>
        <v>valby@danbolig.dk</v>
      </c>
      <c r="Q18" s="26" t="str">
        <f ca="1">IFERROR(__xludf.DUMMYFUNCTION("""COMPUTED_VALUE"""),"https://www.boliga.dk/maegler/201")</f>
        <v>https://www.boliga.dk/maegler/201</v>
      </c>
      <c r="R18" s="1"/>
      <c r="S18" s="27"/>
      <c r="T18" s="1"/>
      <c r="U18" s="1"/>
      <c r="V18" s="1"/>
      <c r="W18" s="1"/>
      <c r="X18" s="1"/>
      <c r="Y18" s="1" t="str">
        <f ca="1">IFERROR(__xludf.DUMMYFUNCTION("""COMPUTED_VALUE"""),"ja")</f>
        <v>ja</v>
      </c>
      <c r="Z18" s="1"/>
      <c r="AA18" s="20"/>
      <c r="AB18" s="1"/>
      <c r="AC18" s="1"/>
      <c r="AD18" s="1"/>
      <c r="AE18" s="1"/>
    </row>
    <row r="19" spans="1:31" ht="12.5">
      <c r="A19" s="1" t="str">
        <f ca="1">IFERROR(__xludf.DUMMYFUNCTION("""COMPUTED_VALUE"""),"Martin")</f>
        <v>Martin</v>
      </c>
      <c r="B19" s="1" t="str">
        <f ca="1">IFERROR(__xludf.DUMMYFUNCTION("""COMPUTED_VALUE"""),"DB Vesterbro HOLM &amp; HAUBERG")</f>
        <v>DB Vesterbro HOLM &amp; HAUBERG</v>
      </c>
      <c r="C19" s="21">
        <f ca="1">IFERROR(__xludf.DUMMYFUNCTION("""COMPUTED_VALUE"""),34485526)</f>
        <v>34485526</v>
      </c>
      <c r="D19" s="21" t="str">
        <f ca="1">IFERROR(__xludf.DUMMYFUNCTION("""COMPUTED_VALUE"""),"MG-PM-SJ: 2.600,-")</f>
        <v>MG-PM-SJ: 2.600,-</v>
      </c>
      <c r="E19" s="21">
        <f ca="1">IFERROR(__xludf.DUMMYFUNCTION("""COMPUTED_VALUE"""),1204)</f>
        <v>1204</v>
      </c>
      <c r="F19" s="21"/>
      <c r="G19" s="1" t="str">
        <f ca="1">IFERROR(__xludf.DUMMYFUNCTION("""COMPUTED_VALUE"""),"morten.hauberg@danbolig.dk")</f>
        <v>morten.hauberg@danbolig.dk</v>
      </c>
      <c r="H19" s="1"/>
      <c r="I19" s="1" t="str">
        <f ca="1">IFERROR(__xludf.DUMMYFUNCTION("""COMPUTED_VALUE"""),"Istedgade 132")</f>
        <v>Istedgade 132</v>
      </c>
      <c r="J19" s="1">
        <f ca="1">IFERROR(__xludf.DUMMYFUNCTION("""COMPUTED_VALUE"""),1650)</f>
        <v>1650</v>
      </c>
      <c r="K19" s="1" t="str">
        <f ca="1">IFERROR(__xludf.DUMMYFUNCTION("""COMPUTED_VALUE"""),"København V")</f>
        <v>København V</v>
      </c>
      <c r="L19" s="1"/>
      <c r="M19" s="1"/>
      <c r="N19" s="1"/>
      <c r="O19" s="1">
        <f ca="1">IFERROR(__xludf.DUMMYFUNCTION("""COMPUTED_VALUE"""),32551444)</f>
        <v>32551444</v>
      </c>
      <c r="P19" s="1" t="str">
        <f ca="1">IFERROR(__xludf.DUMMYFUNCTION("""COMPUTED_VALUE"""),"vesterbro@danbolig.dk")</f>
        <v>vesterbro@danbolig.dk</v>
      </c>
      <c r="Q19" s="26" t="str">
        <f ca="1">IFERROR(__xludf.DUMMYFUNCTION("""COMPUTED_VALUE"""),"https://www.boliga.dk/maegler/17934")</f>
        <v>https://www.boliga.dk/maegler/17934</v>
      </c>
      <c r="R19" s="1"/>
      <c r="S19" s="27"/>
      <c r="T19" s="1"/>
      <c r="U19" s="1"/>
      <c r="V19" s="1"/>
      <c r="W19" s="1"/>
      <c r="X19" s="1"/>
      <c r="Y19" s="1" t="str">
        <f ca="1">IFERROR(__xludf.DUMMYFUNCTION("""COMPUTED_VALUE"""),"ja")</f>
        <v>ja</v>
      </c>
      <c r="Z19" s="1"/>
      <c r="AA19" s="20"/>
      <c r="AB19" s="1"/>
      <c r="AC19" s="1"/>
      <c r="AD19" s="1"/>
      <c r="AE19" s="1"/>
    </row>
    <row r="20" spans="1:31" ht="12.5">
      <c r="A20" s="1" t="str">
        <f ca="1">IFERROR(__xludf.DUMMYFUNCTION("""COMPUTED_VALUE"""),"Martin")</f>
        <v>Martin</v>
      </c>
      <c r="B20" s="1" t="str">
        <f ca="1">IFERROR(__xludf.DUMMYFUNCTION("""COMPUTED_VALUE"""),"DB Holte")</f>
        <v>DB Holte</v>
      </c>
      <c r="C20" s="21">
        <f ca="1">IFERROR(__xludf.DUMMYFUNCTION("""COMPUTED_VALUE"""),26415330)</f>
        <v>26415330</v>
      </c>
      <c r="D20" s="21" t="str">
        <f ca="1">IFERROR(__xludf.DUMMYFUNCTION("""COMPUTED_VALUE"""),"MG-PM-SJ: 2.600,-")</f>
        <v>MG-PM-SJ: 2.600,-</v>
      </c>
      <c r="E20" s="21">
        <f ca="1">IFERROR(__xludf.DUMMYFUNCTION("""COMPUTED_VALUE"""),1204)</f>
        <v>1204</v>
      </c>
      <c r="F20" s="21"/>
      <c r="G20" s="1" t="str">
        <f ca="1">IFERROR(__xludf.DUMMYFUNCTION("""COMPUTED_VALUE"""),"Peter Schmidt@danbolig.dk")</f>
        <v>Peter Schmidt@danbolig.dk</v>
      </c>
      <c r="H20" s="1"/>
      <c r="I20" s="1" t="str">
        <f ca="1">IFERROR(__xludf.DUMMYFUNCTION("""COMPUTED_VALUE"""),"Øverødvej 11")</f>
        <v>Øverødvej 11</v>
      </c>
      <c r="J20" s="1">
        <f ca="1">IFERROR(__xludf.DUMMYFUNCTION("""COMPUTED_VALUE"""),2840)</f>
        <v>2840</v>
      </c>
      <c r="K20" s="1" t="str">
        <f ca="1">IFERROR(__xludf.DUMMYFUNCTION("""COMPUTED_VALUE"""),"Holte")</f>
        <v>Holte</v>
      </c>
      <c r="L20" s="1"/>
      <c r="M20" s="1"/>
      <c r="N20" s="1"/>
      <c r="O20" s="1" t="str">
        <f ca="1">IFERROR(__xludf.DUMMYFUNCTION("""COMPUTED_VALUE"""),"4541 2041")</f>
        <v>4541 2041</v>
      </c>
      <c r="P20" s="1" t="str">
        <f ca="1">IFERROR(__xludf.DUMMYFUNCTION("""COMPUTED_VALUE"""),"Holte@DanBolig.dk")</f>
        <v>Holte@DanBolig.dk</v>
      </c>
      <c r="Q20" s="26" t="str">
        <f ca="1">IFERROR(__xludf.DUMMYFUNCTION("""COMPUTED_VALUE"""),"https://www.boliga.dk/maegler/451")</f>
        <v>https://www.boliga.dk/maegler/451</v>
      </c>
      <c r="R20" s="1"/>
      <c r="S20" s="28"/>
      <c r="T20" s="1"/>
      <c r="U20" s="1"/>
      <c r="V20" s="1"/>
      <c r="W20" s="1"/>
      <c r="X20" s="1"/>
      <c r="Y20" s="1" t="str">
        <f ca="1">IFERROR(__xludf.DUMMYFUNCTION("""COMPUTED_VALUE"""),"ja")</f>
        <v>ja</v>
      </c>
      <c r="Z20" s="1"/>
      <c r="AA20" s="20"/>
      <c r="AB20" s="1"/>
      <c r="AC20" s="1"/>
      <c r="AD20" s="1"/>
      <c r="AE20" s="1"/>
    </row>
    <row r="21" spans="1:31" ht="12.5">
      <c r="A21" s="1" t="str">
        <f ca="1">IFERROR(__xludf.DUMMYFUNCTION("""COMPUTED_VALUE"""),"Martin")</f>
        <v>Martin</v>
      </c>
      <c r="B21" s="1" t="str">
        <f ca="1">IFERROR(__xludf.DUMMYFUNCTION("""COMPUTED_VALUE"""),"DB Køge")</f>
        <v>DB Køge</v>
      </c>
      <c r="C21" s="21">
        <f ca="1">IFERROR(__xludf.DUMMYFUNCTION("""COMPUTED_VALUE"""),33295685)</f>
        <v>33295685</v>
      </c>
      <c r="D21" s="21" t="str">
        <f ca="1">IFERROR(__xludf.DUMMYFUNCTION("""COMPUTED_VALUE"""),"MG-PM-SJ: 2.600,-")</f>
        <v>MG-PM-SJ: 2.600,-</v>
      </c>
      <c r="E21" s="21">
        <f ca="1">IFERROR(__xludf.DUMMYFUNCTION("""COMPUTED_VALUE"""),1204)</f>
        <v>1204</v>
      </c>
      <c r="F21" s="21"/>
      <c r="G21" s="1" t="str">
        <f ca="1">IFERROR(__xludf.DUMMYFUNCTION("""COMPUTED_VALUE"""),"soeren.lauritsen@danbolig.dk")</f>
        <v>soeren.lauritsen@danbolig.dk</v>
      </c>
      <c r="H21" s="1"/>
      <c r="I21" s="1" t="str">
        <f ca="1">IFERROR(__xludf.DUMMYFUNCTION("""COMPUTED_VALUE"""),"Stensbjergvej 7")</f>
        <v>Stensbjergvej 7</v>
      </c>
      <c r="J21" s="1">
        <f ca="1">IFERROR(__xludf.DUMMYFUNCTION("""COMPUTED_VALUE"""),4600)</f>
        <v>4600</v>
      </c>
      <c r="K21" s="1" t="str">
        <f ca="1">IFERROR(__xludf.DUMMYFUNCTION("""COMPUTED_VALUE"""),"Køge")</f>
        <v>Køge</v>
      </c>
      <c r="L21" s="1"/>
      <c r="M21" s="1"/>
      <c r="N21" s="1"/>
      <c r="O21" s="1" t="str">
        <f ca="1">IFERROR(__xludf.DUMMYFUNCTION("""COMPUTED_VALUE"""),"5666 2000")</f>
        <v>5666 2000</v>
      </c>
      <c r="P21" s="1" t="str">
        <f ca="1">IFERROR(__xludf.DUMMYFUNCTION("""COMPUTED_VALUE"""),"Koege@danbolig.dk")</f>
        <v>Koege@danbolig.dk</v>
      </c>
      <c r="Q21" s="26" t="str">
        <f ca="1">IFERROR(__xludf.DUMMYFUNCTION("""COMPUTED_VALUE"""),"https://www.boliga.dk/maegler/110")</f>
        <v>https://www.boliga.dk/maegler/110</v>
      </c>
      <c r="R21" s="1"/>
      <c r="S21" s="27"/>
      <c r="T21" s="1"/>
      <c r="U21" s="1"/>
      <c r="V21" s="1"/>
      <c r="W21" s="1"/>
      <c r="X21" s="1"/>
      <c r="Y21" s="1" t="str">
        <f ca="1">IFERROR(__xludf.DUMMYFUNCTION("""COMPUTED_VALUE"""),"ja")</f>
        <v>ja</v>
      </c>
      <c r="Z21" s="1"/>
      <c r="AA21" s="20"/>
      <c r="AB21" s="1"/>
      <c r="AC21" s="1"/>
      <c r="AD21" s="1"/>
      <c r="AE21" s="1"/>
    </row>
    <row r="22" spans="1:31" ht="12.5">
      <c r="A22" s="1" t="str">
        <f ca="1">IFERROR(__xludf.DUMMYFUNCTION("""COMPUTED_VALUE"""),"Martin")</f>
        <v>Martin</v>
      </c>
      <c r="B22" s="1" t="str">
        <f ca="1">IFERROR(__xludf.DUMMYFUNCTION("""COMPUTED_VALUE"""),"DB Præstø")</f>
        <v>DB Præstø</v>
      </c>
      <c r="C22" s="21">
        <f ca="1">IFERROR(__xludf.DUMMYFUNCTION("""COMPUTED_VALUE"""),33295685)</f>
        <v>33295685</v>
      </c>
      <c r="D22" s="21" t="str">
        <f ca="1">IFERROR(__xludf.DUMMYFUNCTION("""COMPUTED_VALUE"""),"MG-PM-SJ: 2.600,-")</f>
        <v>MG-PM-SJ: 2.600,-</v>
      </c>
      <c r="E22" s="21">
        <f ca="1">IFERROR(__xludf.DUMMYFUNCTION("""COMPUTED_VALUE"""),1204)</f>
        <v>1204</v>
      </c>
      <c r="F22" s="21"/>
      <c r="G22" s="1" t="str">
        <f ca="1">IFERROR(__xludf.DUMMYFUNCTION("""COMPUTED_VALUE"""),"soeren.lauritsen@danbolig.dk")</f>
        <v>soeren.lauritsen@danbolig.dk</v>
      </c>
      <c r="H22" s="1"/>
      <c r="I22" s="1" t="str">
        <f ca="1">IFERROR(__xludf.DUMMYFUNCTION("""COMPUTED_VALUE"""),"Adelgade 18")</f>
        <v>Adelgade 18</v>
      </c>
      <c r="J22" s="1">
        <f ca="1">IFERROR(__xludf.DUMMYFUNCTION("""COMPUTED_VALUE"""),4720)</f>
        <v>4720</v>
      </c>
      <c r="K22" s="1" t="str">
        <f ca="1">IFERROR(__xludf.DUMMYFUNCTION("""COMPUTED_VALUE"""),"Præstø")</f>
        <v>Præstø</v>
      </c>
      <c r="L22" s="1"/>
      <c r="M22" s="1"/>
      <c r="N22" s="1"/>
      <c r="O22" s="1">
        <f ca="1">IFERROR(__xludf.DUMMYFUNCTION("""COMPUTED_VALUE"""),55991866)</f>
        <v>55991866</v>
      </c>
      <c r="P22" s="1" t="str">
        <f ca="1">IFERROR(__xludf.DUMMYFUNCTION("""COMPUTED_VALUE"""),"praestoe@danbolig.dk")</f>
        <v>praestoe@danbolig.dk</v>
      </c>
      <c r="Q22" s="26" t="str">
        <f ca="1">IFERROR(__xludf.DUMMYFUNCTION("""COMPUTED_VALUE"""),"https://www.boliga.dk/maegler/25202")</f>
        <v>https://www.boliga.dk/maegler/25202</v>
      </c>
      <c r="R22" s="1"/>
      <c r="S22" s="27"/>
      <c r="T22" s="1"/>
      <c r="U22" s="1"/>
      <c r="V22" s="1"/>
      <c r="W22" s="1"/>
      <c r="X22" s="1"/>
      <c r="Y22" s="1" t="str">
        <f ca="1">IFERROR(__xludf.DUMMYFUNCTION("""COMPUTED_VALUE"""),"ja")</f>
        <v>ja</v>
      </c>
      <c r="Z22" s="1"/>
      <c r="AA22" s="20"/>
      <c r="AB22" s="1"/>
      <c r="AC22" s="1"/>
      <c r="AD22" s="1"/>
      <c r="AE22" s="1"/>
    </row>
    <row r="23" spans="1:31" ht="12.5">
      <c r="A23" s="1" t="str">
        <f ca="1">IFERROR(__xludf.DUMMYFUNCTION("""COMPUTED_VALUE"""),"Martin")</f>
        <v>Martin</v>
      </c>
      <c r="B23" s="1" t="str">
        <f ca="1">IFERROR(__xludf.DUMMYFUNCTION("""COMPUTED_VALUE"""),"DB Faxe")</f>
        <v>DB Faxe</v>
      </c>
      <c r="C23" s="21">
        <f ca="1">IFERROR(__xludf.DUMMYFUNCTION("""COMPUTED_VALUE"""),33295685)</f>
        <v>33295685</v>
      </c>
      <c r="D23" s="21" t="str">
        <f ca="1">IFERROR(__xludf.DUMMYFUNCTION("""COMPUTED_VALUE"""),"MG-PM-SJ: 2.600,-")</f>
        <v>MG-PM-SJ: 2.600,-</v>
      </c>
      <c r="E23" s="21">
        <f ca="1">IFERROR(__xludf.DUMMYFUNCTION("""COMPUTED_VALUE"""),1204)</f>
        <v>1204</v>
      </c>
      <c r="F23" s="21"/>
      <c r="G23" s="1" t="str">
        <f ca="1">IFERROR(__xludf.DUMMYFUNCTION("""COMPUTED_VALUE"""),"soeren.lauritsen@danbolig.dk")</f>
        <v>soeren.lauritsen@danbolig.dk</v>
      </c>
      <c r="H23" s="1"/>
      <c r="I23" s="1" t="str">
        <f ca="1">IFERROR(__xludf.DUMMYFUNCTION("""COMPUTED_VALUE"""),"Torvegade 14 A")</f>
        <v>Torvegade 14 A</v>
      </c>
      <c r="J23" s="1">
        <f ca="1">IFERROR(__xludf.DUMMYFUNCTION("""COMPUTED_VALUE"""),4640)</f>
        <v>4640</v>
      </c>
      <c r="K23" s="1" t="str">
        <f ca="1">IFERROR(__xludf.DUMMYFUNCTION("""COMPUTED_VALUE"""),"Faxe")</f>
        <v>Faxe</v>
      </c>
      <c r="L23" s="1"/>
      <c r="M23" s="1"/>
      <c r="N23" s="1"/>
      <c r="O23" s="1" t="str">
        <f ca="1">IFERROR(__xludf.DUMMYFUNCTION("""COMPUTED_VALUE"""),"5671 5300")</f>
        <v>5671 5300</v>
      </c>
      <c r="P23" s="1" t="str">
        <f ca="1">IFERROR(__xludf.DUMMYFUNCTION("""COMPUTED_VALUE"""),"faxe@danbolig.dk")</f>
        <v>faxe@danbolig.dk</v>
      </c>
      <c r="Q23" s="26" t="str">
        <f ca="1">IFERROR(__xludf.DUMMYFUNCTION("""COMPUTED_VALUE"""),"https://www.boliga.dk/maegler/231")</f>
        <v>https://www.boliga.dk/maegler/231</v>
      </c>
      <c r="R23" s="1"/>
      <c r="S23" s="27"/>
      <c r="T23" s="1"/>
      <c r="U23" s="1"/>
      <c r="V23" s="1"/>
      <c r="W23" s="1"/>
      <c r="X23" s="1"/>
      <c r="Y23" s="1" t="str">
        <f ca="1">IFERROR(__xludf.DUMMYFUNCTION("""COMPUTED_VALUE"""),"ja")</f>
        <v>ja</v>
      </c>
      <c r="Z23" s="1"/>
      <c r="AA23" s="20"/>
      <c r="AB23" s="1"/>
      <c r="AC23" s="1"/>
      <c r="AD23" s="1"/>
      <c r="AE23" s="1"/>
    </row>
    <row r="24" spans="1:31" ht="12.5">
      <c r="A24" s="1" t="str">
        <f ca="1">IFERROR(__xludf.DUMMYFUNCTION("""COMPUTED_VALUE"""),"Martin")</f>
        <v>Martin</v>
      </c>
      <c r="B24" s="1" t="str">
        <f ca="1">IFERROR(__xludf.DUMMYFUNCTION("""COMPUTED_VALUE"""),"DB Viby")</f>
        <v>DB Viby</v>
      </c>
      <c r="C24" s="21">
        <f ca="1">IFERROR(__xludf.DUMMYFUNCTION("""COMPUTED_VALUE"""),33295685)</f>
        <v>33295685</v>
      </c>
      <c r="D24" s="21" t="str">
        <f ca="1">IFERROR(__xludf.DUMMYFUNCTION("""COMPUTED_VALUE"""),"MG-PM-SJ: 2.600,-")</f>
        <v>MG-PM-SJ: 2.600,-</v>
      </c>
      <c r="E24" s="21">
        <f ca="1">IFERROR(__xludf.DUMMYFUNCTION("""COMPUTED_VALUE"""),1204)</f>
        <v>1204</v>
      </c>
      <c r="F24" s="21"/>
      <c r="G24" s="1" t="str">
        <f ca="1">IFERROR(__xludf.DUMMYFUNCTION("""COMPUTED_VALUE"""),"soeren.lauritsen@danbolig.dk")</f>
        <v>soeren.lauritsen@danbolig.dk</v>
      </c>
      <c r="H24" s="1"/>
      <c r="I24" s="1" t="str">
        <f ca="1">IFERROR(__xludf.DUMMYFUNCTION("""COMPUTED_VALUE"""),"Kastanievej 1")</f>
        <v>Kastanievej 1</v>
      </c>
      <c r="J24" s="1">
        <f ca="1">IFERROR(__xludf.DUMMYFUNCTION("""COMPUTED_VALUE"""),4130)</f>
        <v>4130</v>
      </c>
      <c r="K24" s="1" t="str">
        <f ca="1">IFERROR(__xludf.DUMMYFUNCTION("""COMPUTED_VALUE"""),"Viby Sj.")</f>
        <v>Viby Sj.</v>
      </c>
      <c r="L24" s="1"/>
      <c r="M24" s="1"/>
      <c r="N24" s="1"/>
      <c r="O24" s="1" t="str">
        <f ca="1">IFERROR(__xludf.DUMMYFUNCTION("""COMPUTED_VALUE"""),"46 19 39 00")</f>
        <v>46 19 39 00</v>
      </c>
      <c r="P24" s="1" t="str">
        <f ca="1">IFERROR(__xludf.DUMMYFUNCTION("""COMPUTED_VALUE"""),"viby-sj@danbolig.dk")</f>
        <v>viby-sj@danbolig.dk</v>
      </c>
      <c r="Q24" s="26" t="str">
        <f ca="1">IFERROR(__xludf.DUMMYFUNCTION("""COMPUTED_VALUE"""),"https://www.boliga.dk/maegler/98")</f>
        <v>https://www.boliga.dk/maegler/98</v>
      </c>
      <c r="R24" s="1"/>
      <c r="S24" s="27"/>
      <c r="T24" s="1"/>
      <c r="U24" s="1"/>
      <c r="V24" s="1"/>
      <c r="W24" s="1"/>
      <c r="X24" s="1"/>
      <c r="Y24" s="1" t="str">
        <f ca="1">IFERROR(__xludf.DUMMYFUNCTION("""COMPUTED_VALUE"""),"ja")</f>
        <v>ja</v>
      </c>
      <c r="Z24" s="1"/>
      <c r="AA24" s="20"/>
      <c r="AB24" s="1"/>
      <c r="AC24" s="1"/>
      <c r="AD24" s="1"/>
      <c r="AE24" s="1"/>
    </row>
    <row r="25" spans="1:31" ht="12.5">
      <c r="A25" s="1" t="str">
        <f ca="1">IFERROR(__xludf.DUMMYFUNCTION("""COMPUTED_VALUE"""),"Martin")</f>
        <v>Martin</v>
      </c>
      <c r="B25" s="1" t="str">
        <f ca="1">IFERROR(__xludf.DUMMYFUNCTION("""COMPUTED_VALUE"""),"DB Borup")</f>
        <v>DB Borup</v>
      </c>
      <c r="C25" s="21">
        <f ca="1">IFERROR(__xludf.DUMMYFUNCTION("""COMPUTED_VALUE"""),33295685)</f>
        <v>33295685</v>
      </c>
      <c r="D25" s="21" t="str">
        <f ca="1">IFERROR(__xludf.DUMMYFUNCTION("""COMPUTED_VALUE"""),"MG-PM-SJ: 2.600,-")</f>
        <v>MG-PM-SJ: 2.600,-</v>
      </c>
      <c r="E25" s="21">
        <f ca="1">IFERROR(__xludf.DUMMYFUNCTION("""COMPUTED_VALUE"""),1204)</f>
        <v>1204</v>
      </c>
      <c r="F25" s="21"/>
      <c r="G25" s="1" t="str">
        <f ca="1">IFERROR(__xludf.DUMMYFUNCTION("""COMPUTED_VALUE"""),"soeren.lauritsen@danbolig.dk")</f>
        <v>soeren.lauritsen@danbolig.dk</v>
      </c>
      <c r="H25" s="1"/>
      <c r="I25" s="1" t="str">
        <f ca="1">IFERROR(__xludf.DUMMYFUNCTION("""COMPUTED_VALUE"""),"Hovedgaden 17")</f>
        <v>Hovedgaden 17</v>
      </c>
      <c r="J25" s="1">
        <f ca="1">IFERROR(__xludf.DUMMYFUNCTION("""COMPUTED_VALUE"""),4140)</f>
        <v>4140</v>
      </c>
      <c r="K25" s="1" t="str">
        <f ca="1">IFERROR(__xludf.DUMMYFUNCTION("""COMPUTED_VALUE"""),"Borup")</f>
        <v>Borup</v>
      </c>
      <c r="L25" s="1"/>
      <c r="M25" s="1"/>
      <c r="N25" s="1"/>
      <c r="O25" s="1" t="str">
        <f ca="1">IFERROR(__xludf.DUMMYFUNCTION("""COMPUTED_VALUE"""),"57 52 11 60")</f>
        <v>57 52 11 60</v>
      </c>
      <c r="P25" s="1" t="str">
        <f ca="1">IFERROR(__xludf.DUMMYFUNCTION("""COMPUTED_VALUE"""),"borup@danbolig.dk")</f>
        <v>borup@danbolig.dk</v>
      </c>
      <c r="Q25" s="26" t="str">
        <f ca="1">IFERROR(__xludf.DUMMYFUNCTION("""COMPUTED_VALUE"""),"https://www.boliga.dk/maegler/932")</f>
        <v>https://www.boliga.dk/maegler/932</v>
      </c>
      <c r="R25" s="1"/>
      <c r="S25" s="27"/>
      <c r="T25" s="1"/>
      <c r="U25" s="1"/>
      <c r="V25" s="1"/>
      <c r="W25" s="1"/>
      <c r="X25" s="1"/>
      <c r="Y25" s="1" t="str">
        <f ca="1">IFERROR(__xludf.DUMMYFUNCTION("""COMPUTED_VALUE"""),"ja")</f>
        <v>ja</v>
      </c>
      <c r="Z25" s="1"/>
      <c r="AA25" s="20"/>
      <c r="AB25" s="1"/>
      <c r="AC25" s="1"/>
      <c r="AD25" s="1"/>
      <c r="AE25" s="1"/>
    </row>
    <row r="26" spans="1:31" ht="12.5">
      <c r="A26" s="1" t="str">
        <f ca="1">IFERROR(__xludf.DUMMYFUNCTION("""COMPUTED_VALUE"""),"Martin")</f>
        <v>Martin</v>
      </c>
      <c r="B26" s="1" t="str">
        <f ca="1">IFERROR(__xludf.DUMMYFUNCTION("""COMPUTED_VALUE"""),"DB Stevns")</f>
        <v>DB Stevns</v>
      </c>
      <c r="C26" s="21">
        <f ca="1">IFERROR(__xludf.DUMMYFUNCTION("""COMPUTED_VALUE"""),33295685)</f>
        <v>33295685</v>
      </c>
      <c r="D26" s="21" t="str">
        <f ca="1">IFERROR(__xludf.DUMMYFUNCTION("""COMPUTED_VALUE"""),"MG-PM-SJ: 2.600,-")</f>
        <v>MG-PM-SJ: 2.600,-</v>
      </c>
      <c r="E26" s="21">
        <f ca="1">IFERROR(__xludf.DUMMYFUNCTION("""COMPUTED_VALUE"""),1204)</f>
        <v>1204</v>
      </c>
      <c r="F26" s="21"/>
      <c r="G26" s="1" t="str">
        <f ca="1">IFERROR(__xludf.DUMMYFUNCTION("""COMPUTED_VALUE"""),"soeren.lauritsen@danbolig.dk")</f>
        <v>soeren.lauritsen@danbolig.dk</v>
      </c>
      <c r="H26" s="1"/>
      <c r="I26" s="1" t="str">
        <f ca="1">IFERROR(__xludf.DUMMYFUNCTION("""COMPUTED_VALUE"""),"Nytorv 4")</f>
        <v>Nytorv 4</v>
      </c>
      <c r="J26" s="1">
        <f ca="1">IFERROR(__xludf.DUMMYFUNCTION("""COMPUTED_VALUE"""),4660)</f>
        <v>4660</v>
      </c>
      <c r="K26" s="1" t="str">
        <f ca="1">IFERROR(__xludf.DUMMYFUNCTION("""COMPUTED_VALUE"""),"St. Heddinge")</f>
        <v>St. Heddinge</v>
      </c>
      <c r="L26" s="1"/>
      <c r="M26" s="1"/>
      <c r="N26" s="1"/>
      <c r="O26" s="1" t="str">
        <f ca="1">IFERROR(__xludf.DUMMYFUNCTION("""COMPUTED_VALUE"""),"56 51 02 00")</f>
        <v>56 51 02 00</v>
      </c>
      <c r="P26" s="1" t="str">
        <f ca="1">IFERROR(__xludf.DUMMYFUNCTION("""COMPUTED_VALUE"""),"stevns@danbolig.dk")</f>
        <v>stevns@danbolig.dk</v>
      </c>
      <c r="Q26" s="26" t="str">
        <f ca="1">IFERROR(__xludf.DUMMYFUNCTION("""COMPUTED_VALUE"""),"https://www.boliga.dk/maegler/196")</f>
        <v>https://www.boliga.dk/maegler/196</v>
      </c>
      <c r="R26" s="1"/>
      <c r="S26" s="27"/>
      <c r="T26" s="1"/>
      <c r="U26" s="1"/>
      <c r="V26" s="1"/>
      <c r="W26" s="1"/>
      <c r="X26" s="1"/>
      <c r="Y26" s="1" t="str">
        <f ca="1">IFERROR(__xludf.DUMMYFUNCTION("""COMPUTED_VALUE"""),"ja")</f>
        <v>ja</v>
      </c>
      <c r="Z26" s="1"/>
      <c r="AA26" s="20"/>
      <c r="AB26" s="1"/>
      <c r="AC26" s="1"/>
      <c r="AD26" s="1"/>
      <c r="AE26" s="1"/>
    </row>
    <row r="27" spans="1:31" ht="12.5">
      <c r="A27" s="1" t="str">
        <f ca="1">IFERROR(__xludf.DUMMYFUNCTION("""COMPUTED_VALUE"""),"Martin")</f>
        <v>Martin</v>
      </c>
      <c r="B27" s="1" t="str">
        <f ca="1">IFERROR(__xludf.DUMMYFUNCTION("""COMPUTED_VALUE"""),"DB Haslev")</f>
        <v>DB Haslev</v>
      </c>
      <c r="C27" s="21">
        <f ca="1">IFERROR(__xludf.DUMMYFUNCTION("""COMPUTED_VALUE"""),33295685)</f>
        <v>33295685</v>
      </c>
      <c r="D27" s="21" t="str">
        <f ca="1">IFERROR(__xludf.DUMMYFUNCTION("""COMPUTED_VALUE"""),"MG-PM-SJ: 2.600,-")</f>
        <v>MG-PM-SJ: 2.600,-</v>
      </c>
      <c r="E27" s="21">
        <f ca="1">IFERROR(__xludf.DUMMYFUNCTION("""COMPUTED_VALUE"""),1204)</f>
        <v>1204</v>
      </c>
      <c r="F27" s="21"/>
      <c r="G27" s="1" t="str">
        <f ca="1">IFERROR(__xludf.DUMMYFUNCTION("""COMPUTED_VALUE"""),"soeren.lauritsen@danbolig.dk")</f>
        <v>soeren.lauritsen@danbolig.dk</v>
      </c>
      <c r="H27" s="1"/>
      <c r="I27" s="1" t="str">
        <f ca="1">IFERROR(__xludf.DUMMYFUNCTION("""COMPUTED_VALUE"""),"Jernbanegade 20")</f>
        <v>Jernbanegade 20</v>
      </c>
      <c r="J27" s="1">
        <f ca="1">IFERROR(__xludf.DUMMYFUNCTION("""COMPUTED_VALUE"""),4690)</f>
        <v>4690</v>
      </c>
      <c r="K27" s="1" t="str">
        <f ca="1">IFERROR(__xludf.DUMMYFUNCTION("""COMPUTED_VALUE"""),"Haslev")</f>
        <v>Haslev</v>
      </c>
      <c r="L27" s="1"/>
      <c r="M27" s="1"/>
      <c r="N27" s="1"/>
      <c r="O27" s="1" t="str">
        <f ca="1">IFERROR(__xludf.DUMMYFUNCTION("""COMPUTED_VALUE"""),"5631 4844")</f>
        <v>5631 4844</v>
      </c>
      <c r="P27" s="1" t="str">
        <f ca="1">IFERROR(__xludf.DUMMYFUNCTION("""COMPUTED_VALUE"""),"haslev@danbolig.dk")</f>
        <v>haslev@danbolig.dk</v>
      </c>
      <c r="Q27" s="26" t="str">
        <f ca="1">IFERROR(__xludf.DUMMYFUNCTION("""COMPUTED_VALUE"""),"https://www.boliga.dk/maegler/20749")</f>
        <v>https://www.boliga.dk/maegler/20749</v>
      </c>
      <c r="R27" s="1"/>
      <c r="S27" s="27"/>
      <c r="T27" s="1"/>
      <c r="U27" s="1"/>
      <c r="V27" s="1"/>
      <c r="W27" s="1"/>
      <c r="X27" s="1"/>
      <c r="Y27" s="1" t="str">
        <f ca="1">IFERROR(__xludf.DUMMYFUNCTION("""COMPUTED_VALUE"""),"ja")</f>
        <v>ja</v>
      </c>
      <c r="Z27" s="1"/>
      <c r="AA27" s="20"/>
      <c r="AB27" s="1"/>
      <c r="AC27" s="1"/>
      <c r="AD27" s="1"/>
      <c r="AE27" s="1"/>
    </row>
    <row r="28" spans="1:31" ht="12.5">
      <c r="A28" s="1" t="str">
        <f ca="1">IFERROR(__xludf.DUMMYFUNCTION("""COMPUTED_VALUE"""),"Martin")</f>
        <v>Martin</v>
      </c>
      <c r="B28" s="1" t="str">
        <f ca="1">IFERROR(__xludf.DUMMYFUNCTION("""COMPUTED_VALUE"""),"DB Faaborg")</f>
        <v>DB Faaborg</v>
      </c>
      <c r="C28" s="21">
        <f ca="1">IFERROR(__xludf.DUMMYFUNCTION("""COMPUTED_VALUE"""),39680270)</f>
        <v>39680270</v>
      </c>
      <c r="D28" s="21" t="str">
        <f ca="1">IFERROR(__xludf.DUMMYFUNCTION("""COMPUTED_VALUE"""),"MG-PM-JY: 1.949,-")</f>
        <v>MG-PM-JY: 1.949,-</v>
      </c>
      <c r="E28" s="21">
        <f ca="1">IFERROR(__xludf.DUMMYFUNCTION("""COMPUTED_VALUE"""),1203)</f>
        <v>1203</v>
      </c>
      <c r="F28" s="21"/>
      <c r="G28" s="1" t="str">
        <f ca="1">IFERROR(__xludf.DUMMYFUNCTION("""COMPUTED_VALUE"""),"Soeren.lykkegaard@danbolig.dk")</f>
        <v>Soeren.lykkegaard@danbolig.dk</v>
      </c>
      <c r="H28" s="1"/>
      <c r="I28" s="1" t="str">
        <f ca="1">IFERROR(__xludf.DUMMYFUNCTION("""COMPUTED_VALUE"""),"Lagonis Minde 9")</f>
        <v>Lagonis Minde 9</v>
      </c>
      <c r="J28" s="1">
        <f ca="1">IFERROR(__xludf.DUMMYFUNCTION("""COMPUTED_VALUE"""),5600)</f>
        <v>5600</v>
      </c>
      <c r="K28" s="1" t="str">
        <f ca="1">IFERROR(__xludf.DUMMYFUNCTION("""COMPUTED_VALUE"""),"Faaborg")</f>
        <v>Faaborg</v>
      </c>
      <c r="L28" s="1"/>
      <c r="M28" s="1"/>
      <c r="N28" s="1"/>
      <c r="O28" s="1">
        <f ca="1">IFERROR(__xludf.DUMMYFUNCTION("""COMPUTED_VALUE"""),62610450)</f>
        <v>62610450</v>
      </c>
      <c r="P28" s="1" t="str">
        <f ca="1">IFERROR(__xludf.DUMMYFUNCTION("""COMPUTED_VALUE"""),"faaborg@danbolig.dk")</f>
        <v>faaborg@danbolig.dk</v>
      </c>
      <c r="Q28" s="26" t="str">
        <f ca="1">IFERROR(__xludf.DUMMYFUNCTION("""COMPUTED_VALUE"""),"https://www.boliga.dk/maegler/25250")</f>
        <v>https://www.boliga.dk/maegler/25250</v>
      </c>
      <c r="R28" s="1"/>
      <c r="S28" s="27"/>
      <c r="T28" s="1"/>
      <c r="U28" s="1"/>
      <c r="V28" s="1"/>
      <c r="W28" s="1"/>
      <c r="X28" s="1"/>
      <c r="Y28" s="1" t="str">
        <f ca="1">IFERROR(__xludf.DUMMYFUNCTION("""COMPUTED_VALUE"""),"ja")</f>
        <v>ja</v>
      </c>
      <c r="Z28" s="1"/>
      <c r="AA28" s="20"/>
      <c r="AB28" s="1"/>
      <c r="AC28" s="1"/>
      <c r="AD28" s="1"/>
      <c r="AE28" s="1"/>
    </row>
    <row r="29" spans="1:31" ht="12.5">
      <c r="A29" s="1" t="str">
        <f ca="1">IFERROR(__xludf.DUMMYFUNCTION("""COMPUTED_VALUE"""),"Martin")</f>
        <v>Martin</v>
      </c>
      <c r="B29" s="1" t="str">
        <f ca="1">IFERROR(__xludf.DUMMYFUNCTION("""COMPUTED_VALUE"""),"DB Ringe")</f>
        <v>DB Ringe</v>
      </c>
      <c r="C29" s="21">
        <f ca="1">IFERROR(__xludf.DUMMYFUNCTION("""COMPUTED_VALUE"""),32982832)</f>
        <v>32982832</v>
      </c>
      <c r="D29" s="21" t="str">
        <f ca="1">IFERROR(__xludf.DUMMYFUNCTION("""COMPUTED_VALUE"""),"MG-PM-JY: 1.949,-")</f>
        <v>MG-PM-JY: 1.949,-</v>
      </c>
      <c r="E29" s="21">
        <f ca="1">IFERROR(__xludf.DUMMYFUNCTION("""COMPUTED_VALUE"""),1203)</f>
        <v>1203</v>
      </c>
      <c r="F29" s="21"/>
      <c r="G29" s="1" t="str">
        <f ca="1">IFERROR(__xludf.DUMMYFUNCTION("""COMPUTED_VALUE"""),"Soeren.lykkegaard@danbolig.dk")</f>
        <v>Soeren.lykkegaard@danbolig.dk</v>
      </c>
      <c r="H29" s="1"/>
      <c r="I29" s="1" t="str">
        <f ca="1">IFERROR(__xludf.DUMMYFUNCTION("""COMPUTED_VALUE"""),"Stationsvej 15")</f>
        <v>Stationsvej 15</v>
      </c>
      <c r="J29" s="1">
        <f ca="1">IFERROR(__xludf.DUMMYFUNCTION("""COMPUTED_VALUE"""),5750)</f>
        <v>5750</v>
      </c>
      <c r="K29" s="1" t="str">
        <f ca="1">IFERROR(__xludf.DUMMYFUNCTION("""COMPUTED_VALUE"""),"Ringe")</f>
        <v>Ringe</v>
      </c>
      <c r="L29" s="1"/>
      <c r="M29" s="1"/>
      <c r="N29" s="1"/>
      <c r="O29" s="1" t="str">
        <f ca="1">IFERROR(__xludf.DUMMYFUNCTION("""COMPUTED_VALUE"""),"7023 1717")</f>
        <v>7023 1717</v>
      </c>
      <c r="P29" s="1" t="str">
        <f ca="1">IFERROR(__xludf.DUMMYFUNCTION("""COMPUTED_VALUE"""),"ringe@danbolig.dk")</f>
        <v>ringe@danbolig.dk</v>
      </c>
      <c r="Q29" s="26" t="str">
        <f ca="1">IFERROR(__xludf.DUMMYFUNCTION("""COMPUTED_VALUE"""),"https://www.boliga.dk/maegler/17504")</f>
        <v>https://www.boliga.dk/maegler/17504</v>
      </c>
      <c r="R29" s="1"/>
      <c r="S29" s="27"/>
      <c r="T29" s="1"/>
      <c r="U29" s="1"/>
      <c r="V29" s="1"/>
      <c r="W29" s="1"/>
      <c r="X29" s="1"/>
      <c r="Y29" s="1" t="str">
        <f ca="1">IFERROR(__xludf.DUMMYFUNCTION("""COMPUTED_VALUE"""),"ja")</f>
        <v>ja</v>
      </c>
      <c r="Z29" s="1"/>
      <c r="AA29" s="20"/>
      <c r="AB29" s="1"/>
      <c r="AC29" s="1"/>
      <c r="AD29" s="1"/>
      <c r="AE29" s="1"/>
    </row>
    <row r="30" spans="1:31" ht="12.5">
      <c r="A30" s="1" t="str">
        <f ca="1">IFERROR(__xludf.DUMMYFUNCTION("""COMPUTED_VALUE"""),"Martin")</f>
        <v>Martin</v>
      </c>
      <c r="B30" s="1" t="str">
        <f ca="1">IFERROR(__xludf.DUMMYFUNCTION("""COMPUTED_VALUE"""),"DB Frederiksværk")</f>
        <v>DB Frederiksværk</v>
      </c>
      <c r="C30" s="21">
        <f ca="1">IFERROR(__xludf.DUMMYFUNCTION("""COMPUTED_VALUE"""),34217661)</f>
        <v>34217661</v>
      </c>
      <c r="D30" s="21" t="str">
        <f ca="1">IFERROR(__xludf.DUMMYFUNCTION("""COMPUTED_VALUE"""),"MG-PM-SJ: 2.600,-")</f>
        <v>MG-PM-SJ: 2.600,-</v>
      </c>
      <c r="E30" s="21">
        <f ca="1">IFERROR(__xludf.DUMMYFUNCTION("""COMPUTED_VALUE"""),1204)</f>
        <v>1204</v>
      </c>
      <c r="F30" s="21"/>
      <c r="G30" s="1" t="s">
        <v>1647</v>
      </c>
      <c r="H30" s="1"/>
      <c r="I30" s="1" t="str">
        <f ca="1">IFERROR(__xludf.DUMMYFUNCTION("""COMPUTED_VALUE""")," Torvet 15")</f>
        <v xml:space="preserve"> Torvet 15</v>
      </c>
      <c r="J30" s="1">
        <f ca="1">IFERROR(__xludf.DUMMYFUNCTION("""COMPUTED_VALUE"""),3300)</f>
        <v>3300</v>
      </c>
      <c r="K30" s="1" t="str">
        <f ca="1">IFERROR(__xludf.DUMMYFUNCTION("""COMPUTED_VALUE"""),"Frederiksværk")</f>
        <v>Frederiksværk</v>
      </c>
      <c r="L30" s="1"/>
      <c r="M30" s="1"/>
      <c r="N30" s="1"/>
      <c r="O30" s="1">
        <f ca="1">IFERROR(__xludf.DUMMYFUNCTION("""COMPUTED_VALUE"""),47771070)</f>
        <v>47771070</v>
      </c>
      <c r="P30" s="1" t="str">
        <f ca="1">IFERROR(__xludf.DUMMYFUNCTION("""COMPUTED_VALUE"""),"frederiksvaerk@danbolig.dk")</f>
        <v>frederiksvaerk@danbolig.dk</v>
      </c>
      <c r="Q30" s="26" t="str">
        <f ca="1">IFERROR(__xludf.DUMMYFUNCTION("""COMPUTED_VALUE"""),"https://www.boliga.dk/maegler/17851")</f>
        <v>https://www.boliga.dk/maegler/17851</v>
      </c>
      <c r="R30" s="1"/>
      <c r="S30" s="27"/>
      <c r="T30" s="1"/>
      <c r="U30" s="1"/>
      <c r="V30" s="1"/>
      <c r="W30" s="1"/>
      <c r="X30" s="1"/>
      <c r="Y30" s="1" t="str">
        <f ca="1">IFERROR(__xludf.DUMMYFUNCTION("""COMPUTED_VALUE"""),"ja")</f>
        <v>ja</v>
      </c>
      <c r="Z30" s="1"/>
      <c r="AA30" s="20"/>
      <c r="AB30" s="1"/>
      <c r="AC30" s="1"/>
      <c r="AD30" s="1"/>
      <c r="AE30" s="1"/>
    </row>
    <row r="31" spans="1:31" ht="12.5">
      <c r="A31" s="1" t="str">
        <f ca="1">IFERROR(__xludf.DUMMYFUNCTION("""COMPUTED_VALUE"""),"Martin")</f>
        <v>Martin</v>
      </c>
      <c r="B31" s="1" t="str">
        <f ca="1">IFERROR(__xludf.DUMMYFUNCTION("""COMPUTED_VALUE"""),"DB Hundested")</f>
        <v>DB Hundested</v>
      </c>
      <c r="C31" s="21">
        <f ca="1">IFERROR(__xludf.DUMMYFUNCTION("""COMPUTED_VALUE"""),38024434)</f>
        <v>38024434</v>
      </c>
      <c r="D31" s="21" t="str">
        <f ca="1">IFERROR(__xludf.DUMMYFUNCTION("""COMPUTED_VALUE"""),"MG-PM-SJ: 2.600,-")</f>
        <v>MG-PM-SJ: 2.600,-</v>
      </c>
      <c r="E31" s="21">
        <f ca="1">IFERROR(__xludf.DUMMYFUNCTION("""COMPUTED_VALUE"""),1204)</f>
        <v>1204</v>
      </c>
      <c r="F31" s="21"/>
      <c r="G31" s="1" t="s">
        <v>1647</v>
      </c>
      <c r="H31" s="1"/>
      <c r="I31" s="1" t="str">
        <f ca="1">IFERROR(__xludf.DUMMYFUNCTION("""COMPUTED_VALUE"""),"Kajgaden 9 H 
")</f>
        <v xml:space="preserve">Kajgaden 9 H 
</v>
      </c>
      <c r="J31" s="1">
        <f ca="1">IFERROR(__xludf.DUMMYFUNCTION("""COMPUTED_VALUE"""),3390)</f>
        <v>3390</v>
      </c>
      <c r="K31" s="1" t="str">
        <f ca="1">IFERROR(__xludf.DUMMYFUNCTION("""COMPUTED_VALUE"""),"Hundested")</f>
        <v>Hundested</v>
      </c>
      <c r="L31" s="1"/>
      <c r="M31" s="1"/>
      <c r="N31" s="1"/>
      <c r="O31" s="1">
        <f ca="1">IFERROR(__xludf.DUMMYFUNCTION("""COMPUTED_VALUE"""),48727033)</f>
        <v>48727033</v>
      </c>
      <c r="P31" s="1" t="str">
        <f ca="1">IFERROR(__xludf.DUMMYFUNCTION("""COMPUTED_VALUE"""),"hundested@danbolig.dk")</f>
        <v>hundested@danbolig.dk</v>
      </c>
      <c r="Q31" s="26" t="str">
        <f ca="1">IFERROR(__xludf.DUMMYFUNCTION("""COMPUTED_VALUE"""),"https://www.boliga.dk/maegler/21327")</f>
        <v>https://www.boliga.dk/maegler/21327</v>
      </c>
      <c r="R31" s="1"/>
      <c r="S31" s="27"/>
      <c r="T31" s="1"/>
      <c r="U31" s="1"/>
      <c r="V31" s="1"/>
      <c r="W31" s="1"/>
      <c r="X31" s="1"/>
      <c r="Y31" s="1" t="str">
        <f ca="1">IFERROR(__xludf.DUMMYFUNCTION("""COMPUTED_VALUE"""),"ja")</f>
        <v>ja</v>
      </c>
      <c r="Z31" s="1"/>
      <c r="AA31" s="20"/>
      <c r="AB31" s="1"/>
      <c r="AC31" s="1"/>
      <c r="AD31" s="1"/>
      <c r="AE31" s="1"/>
    </row>
    <row r="32" spans="1:31" ht="12.5">
      <c r="A32" s="1" t="str">
        <f ca="1">IFERROR(__xludf.DUMMYFUNCTION("""COMPUTED_VALUE"""),"Martin")</f>
        <v>Martin</v>
      </c>
      <c r="B32" s="1" t="str">
        <f ca="1">IFERROR(__xludf.DUMMYFUNCTION("""COMPUTED_VALUE"""),"Nybolig Fredensborg v/Thomas Chr. Jürgensen")</f>
        <v>Nybolig Fredensborg v/Thomas Chr. Jürgensen</v>
      </c>
      <c r="C32" s="21">
        <f ca="1">IFERROR(__xludf.DUMMYFUNCTION("""COMPUTED_VALUE"""),27358632)</f>
        <v>27358632</v>
      </c>
      <c r="D32" s="21" t="str">
        <f ca="1">IFERROR(__xludf.DUMMYFUNCTION("""COMPUTED_VALUE"""),"MG-PM-SJ: 2.600,-")</f>
        <v>MG-PM-SJ: 2.600,-</v>
      </c>
      <c r="E32" s="21">
        <f ca="1">IFERROR(__xludf.DUMMYFUNCTION("""COMPUTED_VALUE"""),1204)</f>
        <v>1204</v>
      </c>
      <c r="F32" s="21"/>
      <c r="G32" s="1" t="str">
        <f ca="1">IFERROR(__xludf.DUMMYFUNCTION("""COMPUTED_VALUE"""),"thj@nybolig.dk")</f>
        <v>thj@nybolig.dk</v>
      </c>
      <c r="H32" s="1"/>
      <c r="I32" s="1" t="str">
        <f ca="1">IFERROR(__xludf.DUMMYFUNCTION("""COMPUTED_VALUE"""),"Wendorfsvej 6, st. mf. ")</f>
        <v xml:space="preserve">Wendorfsvej 6, st. mf. </v>
      </c>
      <c r="J32" s="1">
        <f ca="1">IFERROR(__xludf.DUMMYFUNCTION("""COMPUTED_VALUE"""),3480)</f>
        <v>3480</v>
      </c>
      <c r="K32" s="1" t="str">
        <f ca="1">IFERROR(__xludf.DUMMYFUNCTION("""COMPUTED_VALUE"""),"Fredensborg")</f>
        <v>Fredensborg</v>
      </c>
      <c r="L32" s="1"/>
      <c r="M32" s="1"/>
      <c r="N32" s="1"/>
      <c r="O32" s="1" t="str">
        <f ca="1">IFERROR(__xludf.DUMMYFUNCTION("""COMPUTED_VALUE"""),"4919 3000")</f>
        <v>4919 3000</v>
      </c>
      <c r="P32" s="1" t="str">
        <f ca="1">IFERROR(__xludf.DUMMYFUNCTION("""COMPUTED_VALUE"""),"3480@nybolig.dk")</f>
        <v>3480@nybolig.dk</v>
      </c>
      <c r="Q32" s="26" t="str">
        <f ca="1">IFERROR(__xludf.DUMMYFUNCTION("""COMPUTED_VALUE"""),"https://www.boliga.dk/maegler/107")</f>
        <v>https://www.boliga.dk/maegler/107</v>
      </c>
      <c r="R32" s="1"/>
      <c r="S32" s="27"/>
      <c r="T32" s="1"/>
      <c r="U32" s="1"/>
      <c r="V32" s="1"/>
      <c r="W32" s="1"/>
      <c r="X32" s="1"/>
      <c r="Y32" s="1" t="str">
        <f ca="1">IFERROR(__xludf.DUMMYFUNCTION("""COMPUTED_VALUE"""),"ja")</f>
        <v>ja</v>
      </c>
      <c r="Z32" s="1"/>
      <c r="AA32" s="20"/>
      <c r="AB32" s="1"/>
      <c r="AC32" s="1"/>
      <c r="AD32" s="1"/>
      <c r="AE32" s="1"/>
    </row>
    <row r="33" spans="1:31" ht="12.5">
      <c r="A33" s="1" t="str">
        <f ca="1">IFERROR(__xludf.DUMMYFUNCTION("""COMPUTED_VALUE"""),"Martin")</f>
        <v>Martin</v>
      </c>
      <c r="B33" s="1" t="str">
        <f ca="1">IFERROR(__xludf.DUMMYFUNCTION("""COMPUTED_VALUE"""),"DB Espergærde")</f>
        <v>DB Espergærde</v>
      </c>
      <c r="C33" s="21">
        <f ca="1">IFERROR(__xludf.DUMMYFUNCTION("""COMPUTED_VALUE"""),21354309)</f>
        <v>21354309</v>
      </c>
      <c r="D33" s="21" t="str">
        <f ca="1">IFERROR(__xludf.DUMMYFUNCTION("""COMPUTED_VALUE"""),"MG-PM-SJ: 2.600,-")</f>
        <v>MG-PM-SJ: 2.600,-</v>
      </c>
      <c r="E33" s="21">
        <f ca="1">IFERROR(__xludf.DUMMYFUNCTION("""COMPUTED_VALUE"""),1204)</f>
        <v>1204</v>
      </c>
      <c r="F33" s="21"/>
      <c r="G33" s="1" t="str">
        <f ca="1">IFERROR(__xludf.DUMMYFUNCTION("""COMPUTED_VALUE"""),"thomas.bloch@danbolig.dk")</f>
        <v>thomas.bloch@danbolig.dk</v>
      </c>
      <c r="H33" s="1"/>
      <c r="I33" s="1" t="str">
        <f ca="1">IFERROR(__xludf.DUMMYFUNCTION("""COMPUTED_VALUE"""),"Strandvejen 354")</f>
        <v>Strandvejen 354</v>
      </c>
      <c r="J33" s="1">
        <f ca="1">IFERROR(__xludf.DUMMYFUNCTION("""COMPUTED_VALUE"""),3060)</f>
        <v>3060</v>
      </c>
      <c r="K33" s="1" t="str">
        <f ca="1">IFERROR(__xludf.DUMMYFUNCTION("""COMPUTED_VALUE"""),"Espergærde")</f>
        <v>Espergærde</v>
      </c>
      <c r="L33" s="1"/>
      <c r="M33" s="1"/>
      <c r="N33" s="1"/>
      <c r="O33" s="1" t="str">
        <f ca="1">IFERROR(__xludf.DUMMYFUNCTION("""COMPUTED_VALUE"""),"4913 0100")</f>
        <v>4913 0100</v>
      </c>
      <c r="P33" s="1" t="str">
        <f ca="1">IFERROR(__xludf.DUMMYFUNCTION("""COMPUTED_VALUE"""),"espergaerde@danbolig.dk")</f>
        <v>espergaerde@danbolig.dk</v>
      </c>
      <c r="Q33" s="26" t="str">
        <f ca="1">IFERROR(__xludf.DUMMYFUNCTION("""COMPUTED_VALUE"""),"https://www.boliga.dk/maegler/18120")</f>
        <v>https://www.boliga.dk/maegler/18120</v>
      </c>
      <c r="R33" s="1"/>
      <c r="S33" s="27"/>
      <c r="T33" s="1"/>
      <c r="U33" s="1"/>
      <c r="V33" s="1"/>
      <c r="W33" s="1"/>
      <c r="X33" s="1"/>
      <c r="Y33" s="1" t="str">
        <f ca="1">IFERROR(__xludf.DUMMYFUNCTION("""COMPUTED_VALUE"""),"ja")</f>
        <v>ja</v>
      </c>
      <c r="Z33" s="1"/>
      <c r="AA33" s="20"/>
      <c r="AB33" s="1"/>
      <c r="AC33" s="1"/>
      <c r="AD33" s="1"/>
      <c r="AE33" s="1"/>
    </row>
    <row r="34" spans="1:31" ht="12.5">
      <c r="A34" s="1" t="str">
        <f ca="1">IFERROR(__xludf.DUMMYFUNCTION("""COMPUTED_VALUE"""),"Martin")</f>
        <v>Martin</v>
      </c>
      <c r="B34" s="1" t="str">
        <f ca="1">IFERROR(__xludf.DUMMYFUNCTION("""COMPUTED_VALUE"""),"DB Hornbæk")</f>
        <v>DB Hornbæk</v>
      </c>
      <c r="C34" s="21">
        <f ca="1">IFERROR(__xludf.DUMMYFUNCTION("""COMPUTED_VALUE"""),20155981)</f>
        <v>20155981</v>
      </c>
      <c r="D34" s="21" t="str">
        <f ca="1">IFERROR(__xludf.DUMMYFUNCTION("""COMPUTED_VALUE"""),"MG-PM-SJ: 2.600,-")</f>
        <v>MG-PM-SJ: 2.600,-</v>
      </c>
      <c r="E34" s="21">
        <f ca="1">IFERROR(__xludf.DUMMYFUNCTION("""COMPUTED_VALUE"""),1204)</f>
        <v>1204</v>
      </c>
      <c r="F34" s="21"/>
      <c r="G34" s="1" t="str">
        <f ca="1">IFERROR(__xludf.DUMMYFUNCTION("""COMPUTED_VALUE"""),"thomas.bloch@danbolig.dk")</f>
        <v>thomas.bloch@danbolig.dk</v>
      </c>
      <c r="H34" s="1"/>
      <c r="I34" s="1" t="str">
        <f ca="1">IFERROR(__xludf.DUMMYFUNCTION("""COMPUTED_VALUE"""),"Nordre Strandvej 355 A")</f>
        <v>Nordre Strandvej 355 A</v>
      </c>
      <c r="J34" s="1">
        <f ca="1">IFERROR(__xludf.DUMMYFUNCTION("""COMPUTED_VALUE"""),3100)</f>
        <v>3100</v>
      </c>
      <c r="K34" s="1" t="str">
        <f ca="1">IFERROR(__xludf.DUMMYFUNCTION("""COMPUTED_VALUE"""),"Hornbæk")</f>
        <v>Hornbæk</v>
      </c>
      <c r="L34" s="1"/>
      <c r="M34" s="1"/>
      <c r="N34" s="1"/>
      <c r="O34" s="1" t="str">
        <f ca="1">IFERROR(__xludf.DUMMYFUNCTION("""COMPUTED_VALUE"""),"4970 4505")</f>
        <v>4970 4505</v>
      </c>
      <c r="P34" s="1" t="str">
        <f ca="1">IFERROR(__xludf.DUMMYFUNCTION("""COMPUTED_VALUE"""),"hornbaek@danbolig.dk")</f>
        <v>hornbaek@danbolig.dk</v>
      </c>
      <c r="Q34" s="26" t="str">
        <f ca="1">IFERROR(__xludf.DUMMYFUNCTION("""COMPUTED_VALUE"""),"https://www.boliga.dk/maegler/18145")</f>
        <v>https://www.boliga.dk/maegler/18145</v>
      </c>
      <c r="R34" s="1"/>
      <c r="S34" s="28"/>
      <c r="T34" s="27"/>
      <c r="U34" s="1"/>
      <c r="V34" s="1"/>
      <c r="W34" s="1"/>
      <c r="X34" s="1"/>
      <c r="Y34" s="1" t="str">
        <f ca="1">IFERROR(__xludf.DUMMYFUNCTION("""COMPUTED_VALUE"""),"ja")</f>
        <v>ja</v>
      </c>
      <c r="Z34" s="1"/>
      <c r="AA34" s="20"/>
      <c r="AB34" s="1"/>
      <c r="AC34" s="1"/>
      <c r="AD34" s="1"/>
      <c r="AE34" s="1"/>
    </row>
    <row r="35" spans="1:31" ht="12.5">
      <c r="A35" s="1" t="str">
        <f ca="1">IFERROR(__xludf.DUMMYFUNCTION("""COMPUTED_VALUE"""),"Martin")</f>
        <v>Martin</v>
      </c>
      <c r="B35" s="1" t="str">
        <f ca="1">IFERROR(__xludf.DUMMYFUNCTION("""COMPUTED_VALUE"""),"DB Kalundborg")</f>
        <v>DB Kalundborg</v>
      </c>
      <c r="C35" s="21">
        <f ca="1">IFERROR(__xludf.DUMMYFUNCTION("""COMPUTED_VALUE"""),26631785)</f>
        <v>26631785</v>
      </c>
      <c r="D35" s="21" t="str">
        <f ca="1">IFERROR(__xludf.DUMMYFUNCTION("""COMPUTED_VALUE"""),"MG-PM-SJ: 2.600,-")</f>
        <v>MG-PM-SJ: 2.600,-</v>
      </c>
      <c r="E35" s="21">
        <f ca="1">IFERROR(__xludf.DUMMYFUNCTION("""COMPUTED_VALUE"""),1204)</f>
        <v>1204</v>
      </c>
      <c r="F35" s="21"/>
      <c r="G35" s="1" t="str">
        <f ca="1">IFERROR(__xludf.DUMMYFUNCTION("""COMPUTED_VALUE"""),"tom.parsner@danbolig.dk")</f>
        <v>tom.parsner@danbolig.dk</v>
      </c>
      <c r="H35" s="1"/>
      <c r="I35" s="1" t="str">
        <f ca="1">IFERROR(__xludf.DUMMYFUNCTION("""COMPUTED_VALUE"""),"Elmegade 11 E")</f>
        <v>Elmegade 11 E</v>
      </c>
      <c r="J35" s="1">
        <f ca="1">IFERROR(__xludf.DUMMYFUNCTION("""COMPUTED_VALUE"""),4400)</f>
        <v>4400</v>
      </c>
      <c r="K35" s="1" t="str">
        <f ca="1">IFERROR(__xludf.DUMMYFUNCTION("""COMPUTED_VALUE"""),"Kalundborg")</f>
        <v>Kalundborg</v>
      </c>
      <c r="L35" s="1"/>
      <c r="M35" s="1"/>
      <c r="N35" s="1"/>
      <c r="O35" s="1" t="str">
        <f ca="1">IFERROR(__xludf.DUMMYFUNCTION("""COMPUTED_VALUE"""),"5956 1600")</f>
        <v>5956 1600</v>
      </c>
      <c r="P35" s="1" t="str">
        <f ca="1">IFERROR(__xludf.DUMMYFUNCTION("""COMPUTED_VALUE"""),"kalundborg@danbolig.dk")</f>
        <v>kalundborg@danbolig.dk</v>
      </c>
      <c r="Q35" s="26" t="str">
        <f ca="1">IFERROR(__xludf.DUMMYFUNCTION("""COMPUTED_VALUE"""),"https://www.boliga.dk/maegler/255")</f>
        <v>https://www.boliga.dk/maegler/255</v>
      </c>
      <c r="R35" s="1"/>
      <c r="S35" s="27"/>
      <c r="T35" s="1"/>
      <c r="U35" s="1"/>
      <c r="V35" s="1"/>
      <c r="W35" s="1"/>
      <c r="X35" s="1"/>
      <c r="Y35" s="1" t="str">
        <f ca="1">IFERROR(__xludf.DUMMYFUNCTION("""COMPUTED_VALUE"""),"ja")</f>
        <v>ja</v>
      </c>
      <c r="Z35" s="1"/>
      <c r="AA35" s="20"/>
      <c r="AB35" s="1"/>
      <c r="AC35" s="1"/>
      <c r="AD35" s="1"/>
      <c r="AE35" s="1"/>
    </row>
    <row r="36" spans="1:31" ht="12.5">
      <c r="A36" s="1" t="str">
        <f ca="1">IFERROR(__xludf.DUMMYFUNCTION("""COMPUTED_VALUE"""),"Martin")</f>
        <v>Martin</v>
      </c>
      <c r="B36" s="1" t="str">
        <f ca="1">IFERROR(__xludf.DUMMYFUNCTION("""COMPUTED_VALUE"""),"Paulun Bolig Frederiksberg")</f>
        <v>Paulun Bolig Frederiksberg</v>
      </c>
      <c r="C36" s="21">
        <f ca="1">IFERROR(__xludf.DUMMYFUNCTION("""COMPUTED_VALUE"""),28884885)</f>
        <v>28884885</v>
      </c>
      <c r="D36" s="21" t="str">
        <f ca="1">IFERROR(__xludf.DUMMYFUNCTION("""COMPUTED_VALUE"""),"MG-PM-SJ: 2.600,-")</f>
        <v>MG-PM-SJ: 2.600,-</v>
      </c>
      <c r="E36" s="21">
        <f ca="1">IFERROR(__xludf.DUMMYFUNCTION("""COMPUTED_VALUE"""),1204)</f>
        <v>1204</v>
      </c>
      <c r="F36" s="21"/>
      <c r="G36" s="1" t="str">
        <f ca="1">IFERROR(__xludf.DUMMYFUNCTION("""COMPUTED_VALUE"""),"paulunamager@invoiceportal.dk")</f>
        <v>paulunamager@invoiceportal.dk</v>
      </c>
      <c r="H36" s="1"/>
      <c r="I36" s="1" t="str">
        <f ca="1">IFERROR(__xludf.DUMMYFUNCTION("""COMPUTED_VALUE"""),"Sundbyvester Plads 2")</f>
        <v>Sundbyvester Plads 2</v>
      </c>
      <c r="J36" s="1">
        <f ca="1">IFERROR(__xludf.DUMMYFUNCTION("""COMPUTED_VALUE"""),2300)</f>
        <v>2300</v>
      </c>
      <c r="K36" s="1" t="str">
        <f ca="1">IFERROR(__xludf.DUMMYFUNCTION("""COMPUTED_VALUE"""),"København S")</f>
        <v>København S</v>
      </c>
      <c r="L36" s="1"/>
      <c r="M36" s="1"/>
      <c r="N36" s="1"/>
      <c r="O36" s="1">
        <f ca="1">IFERROR(__xludf.DUMMYFUNCTION("""COMPUTED_VALUE"""),38412200)</f>
        <v>38412200</v>
      </c>
      <c r="P36" s="1" t="str">
        <f ca="1">IFERROR(__xludf.DUMMYFUNCTION("""COMPUTED_VALUE"""),"frederiksberg@paulun.dk")</f>
        <v>frederiksberg@paulun.dk</v>
      </c>
      <c r="Q36" s="26" t="str">
        <f ca="1">IFERROR(__xludf.DUMMYFUNCTION("""COMPUTED_VALUE"""),"https://www.boliga.dk/maegler/25794")</f>
        <v>https://www.boliga.dk/maegler/25794</v>
      </c>
      <c r="R36" s="1"/>
      <c r="S36" s="27"/>
      <c r="T36" s="1"/>
      <c r="U36" s="1"/>
      <c r="V36" s="1"/>
      <c r="W36" s="1"/>
      <c r="X36" s="1"/>
      <c r="Y36" s="1" t="str">
        <f ca="1">IFERROR(__xludf.DUMMYFUNCTION("""COMPUTED_VALUE"""),"ja")</f>
        <v>ja</v>
      </c>
      <c r="Z36" s="1"/>
      <c r="AA36" s="20"/>
      <c r="AB36" s="1"/>
      <c r="AC36" s="1"/>
      <c r="AD36" s="1"/>
      <c r="AE36" s="1"/>
    </row>
    <row r="37" spans="1:31" ht="12.5">
      <c r="A37" s="1" t="str">
        <f ca="1">IFERROR(__xludf.DUMMYFUNCTION("""COMPUTED_VALUE"""),"Martin")</f>
        <v>Martin</v>
      </c>
      <c r="B37" s="1" t="str">
        <f ca="1">IFERROR(__xludf.DUMMYFUNCTION("""COMPUTED_VALUE"""),"Paulun Bolig Amager")</f>
        <v>Paulun Bolig Amager</v>
      </c>
      <c r="C37" s="21">
        <f ca="1">IFERROR(__xludf.DUMMYFUNCTION("""COMPUTED_VALUE"""),28884850)</f>
        <v>28884850</v>
      </c>
      <c r="D37" s="21" t="str">
        <f ca="1">IFERROR(__xludf.DUMMYFUNCTION("""COMPUTED_VALUE"""),"MG-PM-SJ: 2.600,-")</f>
        <v>MG-PM-SJ: 2.600,-</v>
      </c>
      <c r="E37" s="21">
        <f ca="1">IFERROR(__xludf.DUMMYFUNCTION("""COMPUTED_VALUE"""),1204)</f>
        <v>1204</v>
      </c>
      <c r="F37" s="21"/>
      <c r="G37" s="1" t="str">
        <f ca="1">IFERROR(__xludf.DUMMYFUNCTION("""COMPUTED_VALUE"""),"paulunamager@invoiceportal.dk")</f>
        <v>paulunamager@invoiceportal.dk</v>
      </c>
      <c r="H37" s="1"/>
      <c r="I37" s="1" t="str">
        <f ca="1">IFERROR(__xludf.DUMMYFUNCTION("""COMPUTED_VALUE"""),"Sundbyvester Plads 2")</f>
        <v>Sundbyvester Plads 2</v>
      </c>
      <c r="J37" s="1">
        <f ca="1">IFERROR(__xludf.DUMMYFUNCTION("""COMPUTED_VALUE"""),2300)</f>
        <v>2300</v>
      </c>
      <c r="K37" s="1" t="str">
        <f ca="1">IFERROR(__xludf.DUMMYFUNCTION("""COMPUTED_VALUE"""),"København S")</f>
        <v>København S</v>
      </c>
      <c r="L37" s="1"/>
      <c r="M37" s="1"/>
      <c r="N37" s="1"/>
      <c r="O37" s="1">
        <f ca="1">IFERROR(__xludf.DUMMYFUNCTION("""COMPUTED_VALUE"""),32591407)</f>
        <v>32591407</v>
      </c>
      <c r="P37" s="1" t="str">
        <f ca="1">IFERROR(__xludf.DUMMYFUNCTION("""COMPUTED_VALUE"""),"amager@paulun.dk")</f>
        <v>amager@paulun.dk</v>
      </c>
      <c r="Q37" s="26" t="str">
        <f ca="1">IFERROR(__xludf.DUMMYFUNCTION("""COMPUTED_VALUE"""),"https://www.boliga.dk/maegler/25791")</f>
        <v>https://www.boliga.dk/maegler/25791</v>
      </c>
      <c r="R37" s="1"/>
      <c r="S37" s="28"/>
      <c r="T37" s="1"/>
      <c r="U37" s="1"/>
      <c r="V37" s="1"/>
      <c r="W37" s="1"/>
      <c r="X37" s="1"/>
      <c r="Y37" s="1" t="str">
        <f ca="1">IFERROR(__xludf.DUMMYFUNCTION("""COMPUTED_VALUE"""),"ja")</f>
        <v>ja</v>
      </c>
      <c r="Z37" s="1"/>
      <c r="AA37" s="20"/>
      <c r="AB37" s="1"/>
      <c r="AC37" s="1"/>
      <c r="AD37" s="1"/>
      <c r="AE37" s="1"/>
    </row>
    <row r="38" spans="1:31" ht="12.5">
      <c r="A38" s="1" t="str">
        <f ca="1">IFERROR(__xludf.DUMMYFUNCTION("""COMPUTED_VALUE"""),"Martin")</f>
        <v>Martin</v>
      </c>
      <c r="B38" s="1" t="str">
        <f ca="1">IFERROR(__xludf.DUMMYFUNCTION("""COMPUTED_VALUE"""),"Paulun Islands Brygge ")</f>
        <v xml:space="preserve">Paulun Islands Brygge </v>
      </c>
      <c r="C38" s="21">
        <f ca="1">IFERROR(__xludf.DUMMYFUNCTION("""COMPUTED_VALUE"""),28884850)</f>
        <v>28884850</v>
      </c>
      <c r="D38" s="21" t="str">
        <f ca="1">IFERROR(__xludf.DUMMYFUNCTION("""COMPUTED_VALUE"""),"MG-PM-SJ: 2.600,-")</f>
        <v>MG-PM-SJ: 2.600,-</v>
      </c>
      <c r="E38" s="21">
        <f ca="1">IFERROR(__xludf.DUMMYFUNCTION("""COMPUTED_VALUE"""),1204)</f>
        <v>1204</v>
      </c>
      <c r="F38" s="21"/>
      <c r="G38" s="1" t="str">
        <f ca="1">IFERROR(__xludf.DUMMYFUNCTION("""COMPUTED_VALUE"""),"paulunamager@invoiceportal.dk")</f>
        <v>paulunamager@invoiceportal.dk</v>
      </c>
      <c r="H38" s="1"/>
      <c r="I38" s="1" t="str">
        <f ca="1">IFERROR(__xludf.DUMMYFUNCTION("""COMPUTED_VALUE"""),"Sundbyvester Plads 2")</f>
        <v>Sundbyvester Plads 2</v>
      </c>
      <c r="J38" s="1">
        <f ca="1">IFERROR(__xludf.DUMMYFUNCTION("""COMPUTED_VALUE"""),2300)</f>
        <v>2300</v>
      </c>
      <c r="K38" s="1" t="str">
        <f ca="1">IFERROR(__xludf.DUMMYFUNCTION("""COMPUTED_VALUE"""),"København S")</f>
        <v>København S</v>
      </c>
      <c r="L38" s="1"/>
      <c r="M38" s="1"/>
      <c r="N38" s="1"/>
      <c r="O38" s="1">
        <f ca="1">IFERROR(__xludf.DUMMYFUNCTION("""COMPUTED_VALUE"""),32873080)</f>
        <v>32873080</v>
      </c>
      <c r="P38" s="1" t="str">
        <f ca="1">IFERROR(__xludf.DUMMYFUNCTION("""COMPUTED_VALUE"""),"bryggen@paulun.dk")</f>
        <v>bryggen@paulun.dk</v>
      </c>
      <c r="Q38" s="26" t="str">
        <f ca="1">IFERROR(__xludf.DUMMYFUNCTION("""COMPUTED_VALUE"""),"https://www.boliga.dk/maegler/25801")</f>
        <v>https://www.boliga.dk/maegler/25801</v>
      </c>
      <c r="R38" s="1"/>
      <c r="S38" s="27"/>
      <c r="T38" s="1"/>
      <c r="U38" s="1"/>
      <c r="V38" s="1"/>
      <c r="W38" s="1"/>
      <c r="X38" s="1"/>
      <c r="Y38" s="1" t="str">
        <f ca="1">IFERROR(__xludf.DUMMYFUNCTION("""COMPUTED_VALUE"""),"ja")</f>
        <v>ja</v>
      </c>
      <c r="Z38" s="1"/>
      <c r="AA38" s="20"/>
      <c r="AB38" s="1"/>
      <c r="AC38" s="1"/>
      <c r="AD38" s="1"/>
      <c r="AE38" s="1"/>
    </row>
    <row r="39" spans="1:31" ht="12.5">
      <c r="A39" s="1" t="str">
        <f ca="1">IFERROR(__xludf.DUMMYFUNCTION("""COMPUTED_VALUE"""),"Martin")</f>
        <v>Martin</v>
      </c>
      <c r="B39" s="1" t="str">
        <f ca="1">IFERROR(__xludf.DUMMYFUNCTION("""COMPUTED_VALUE"""),"Paulun Tårnby/Dragør")</f>
        <v>Paulun Tårnby/Dragør</v>
      </c>
      <c r="C39" s="21">
        <f ca="1">IFERROR(__xludf.DUMMYFUNCTION("""COMPUTED_VALUE"""),28884850)</f>
        <v>28884850</v>
      </c>
      <c r="D39" s="21" t="str">
        <f ca="1">IFERROR(__xludf.DUMMYFUNCTION("""COMPUTED_VALUE"""),"MG-PM-SJ: 2.600,-")</f>
        <v>MG-PM-SJ: 2.600,-</v>
      </c>
      <c r="E39" s="21">
        <f ca="1">IFERROR(__xludf.DUMMYFUNCTION("""COMPUTED_VALUE"""),1204)</f>
        <v>1204</v>
      </c>
      <c r="F39" s="21"/>
      <c r="G39" s="1" t="str">
        <f ca="1">IFERROR(__xludf.DUMMYFUNCTION("""COMPUTED_VALUE"""),"paulunamager@invoiceportal.dk")</f>
        <v>paulunamager@invoiceportal.dk</v>
      </c>
      <c r="H39" s="1"/>
      <c r="I39" s="1" t="str">
        <f ca="1">IFERROR(__xludf.DUMMYFUNCTION("""COMPUTED_VALUE"""),"Sundbyvester Plads 2")</f>
        <v>Sundbyvester Plads 2</v>
      </c>
      <c r="J39" s="1">
        <f ca="1">IFERROR(__xludf.DUMMYFUNCTION("""COMPUTED_VALUE"""),2300)</f>
        <v>2300</v>
      </c>
      <c r="K39" s="1" t="str">
        <f ca="1">IFERROR(__xludf.DUMMYFUNCTION("""COMPUTED_VALUE"""),"København S")</f>
        <v>København S</v>
      </c>
      <c r="L39" s="1"/>
      <c r="M39" s="1"/>
      <c r="N39" s="1"/>
      <c r="O39" s="1">
        <f ca="1">IFERROR(__xludf.DUMMYFUNCTION("""COMPUTED_VALUE"""),38422320)</f>
        <v>38422320</v>
      </c>
      <c r="P39" s="1" t="str">
        <f ca="1">IFERROR(__xludf.DUMMYFUNCTION("""COMPUTED_VALUE"""),"taarnby@paulun.dk")</f>
        <v>taarnby@paulun.dk</v>
      </c>
      <c r="Q39" s="26" t="str">
        <f ca="1">IFERROR(__xludf.DUMMYFUNCTION("""COMPUTED_VALUE"""),"https://www.boliga.dk/maegler/25792")</f>
        <v>https://www.boliga.dk/maegler/25792</v>
      </c>
      <c r="R39" s="1"/>
      <c r="S39" s="27"/>
      <c r="T39" s="1"/>
      <c r="U39" s="1"/>
      <c r="V39" s="1"/>
      <c r="W39" s="1"/>
      <c r="X39" s="1"/>
      <c r="Y39" s="1" t="str">
        <f ca="1">IFERROR(__xludf.DUMMYFUNCTION("""COMPUTED_VALUE"""),"ja")</f>
        <v>ja</v>
      </c>
      <c r="Z39" s="1"/>
      <c r="AA39" s="20"/>
      <c r="AB39" s="1"/>
      <c r="AC39" s="1"/>
      <c r="AD39" s="1"/>
      <c r="AE39" s="1"/>
    </row>
    <row r="40" spans="1:31" ht="12.5">
      <c r="A40" s="1" t="str">
        <f ca="1">IFERROR(__xludf.DUMMYFUNCTION("""COMPUTED_VALUE"""),"Martin")</f>
        <v>Martin</v>
      </c>
      <c r="B40" s="1" t="str">
        <f ca="1">IFERROR(__xludf.DUMMYFUNCTION("""COMPUTED_VALUE"""),"Paulun Bolig Østerbro ")</f>
        <v xml:space="preserve">Paulun Bolig Østerbro </v>
      </c>
      <c r="C40" s="21">
        <f ca="1">IFERROR(__xludf.DUMMYFUNCTION("""COMPUTED_VALUE"""),34080992)</f>
        <v>34080992</v>
      </c>
      <c r="D40" s="21" t="str">
        <f ca="1">IFERROR(__xludf.DUMMYFUNCTION("""COMPUTED_VALUE"""),"MG-PM-SJ: 2.600,-")</f>
        <v>MG-PM-SJ: 2.600,-</v>
      </c>
      <c r="E40" s="21">
        <f ca="1">IFERROR(__xludf.DUMMYFUNCTION("""COMPUTED_VALUE"""),1204)</f>
        <v>1204</v>
      </c>
      <c r="F40" s="21"/>
      <c r="G40" s="1" t="str">
        <f ca="1">IFERROR(__xludf.DUMMYFUNCTION("""COMPUTED_VALUE"""),"paulunamager@invoiceportal.dk")</f>
        <v>paulunamager@invoiceportal.dk</v>
      </c>
      <c r="H40" s="1"/>
      <c r="I40" s="1" t="str">
        <f ca="1">IFERROR(__xludf.DUMMYFUNCTION("""COMPUTED_VALUE""")," Store Kongensgade 53 
")</f>
        <v xml:space="preserve"> Store Kongensgade 53 
</v>
      </c>
      <c r="J40" s="1">
        <f ca="1">IFERROR(__xludf.DUMMYFUNCTION("""COMPUTED_VALUE"""),1264)</f>
        <v>1264</v>
      </c>
      <c r="K40" s="1" t="str">
        <f ca="1">IFERROR(__xludf.DUMMYFUNCTION("""COMPUTED_VALUE"""),"København K")</f>
        <v>København K</v>
      </c>
      <c r="L40" s="1"/>
      <c r="M40" s="1"/>
      <c r="N40" s="1"/>
      <c r="O40" s="1">
        <f ca="1">IFERROR(__xludf.DUMMYFUNCTION("""COMPUTED_VALUE"""),35381450)</f>
        <v>35381450</v>
      </c>
      <c r="P40" s="1" t="str">
        <f ca="1">IFERROR(__xludf.DUMMYFUNCTION("""COMPUTED_VALUE"""),"oesterbro@paulun.dk")</f>
        <v>oesterbro@paulun.dk</v>
      </c>
      <c r="Q40" s="26" t="str">
        <f ca="1">IFERROR(__xludf.DUMMYFUNCTION("""COMPUTED_VALUE"""),"https://www.boliga.dk/maegler/25790")</f>
        <v>https://www.boliga.dk/maegler/25790</v>
      </c>
      <c r="R40" s="1"/>
      <c r="S40" s="27"/>
      <c r="T40" s="1"/>
      <c r="U40" s="1"/>
      <c r="V40" s="1"/>
      <c r="W40" s="1"/>
      <c r="X40" s="1"/>
      <c r="Y40" s="1" t="str">
        <f ca="1">IFERROR(__xludf.DUMMYFUNCTION("""COMPUTED_VALUE"""),"ja")</f>
        <v>ja</v>
      </c>
      <c r="Z40" s="1"/>
      <c r="AA40" s="20"/>
      <c r="AB40" s="1"/>
      <c r="AC40" s="1"/>
      <c r="AD40" s="1"/>
      <c r="AE40" s="1"/>
    </row>
    <row r="41" spans="1:31" ht="12.5">
      <c r="A41" s="1" t="str">
        <f ca="1">IFERROR(__xludf.DUMMYFUNCTION("""COMPUTED_VALUE"""),"Martin")</f>
        <v>Martin</v>
      </c>
      <c r="B41" s="1" t="str">
        <f ca="1">IFERROR(__xludf.DUMMYFUNCTION("""COMPUTED_VALUE"""),"Paulun City")</f>
        <v>Paulun City</v>
      </c>
      <c r="C41" s="21">
        <f ca="1">IFERROR(__xludf.DUMMYFUNCTION("""COMPUTED_VALUE"""),34080992)</f>
        <v>34080992</v>
      </c>
      <c r="D41" s="21" t="str">
        <f ca="1">IFERROR(__xludf.DUMMYFUNCTION("""COMPUTED_VALUE"""),"MG-PM-SJ: 2.600,-")</f>
        <v>MG-PM-SJ: 2.600,-</v>
      </c>
      <c r="E41" s="21">
        <f ca="1">IFERROR(__xludf.DUMMYFUNCTION("""COMPUTED_VALUE"""),1204)</f>
        <v>1204</v>
      </c>
      <c r="F41" s="21"/>
      <c r="G41" s="1" t="str">
        <f ca="1">IFERROR(__xludf.DUMMYFUNCTION("""COMPUTED_VALUE"""),"paulunamager@invoiceportal.dk")</f>
        <v>paulunamager@invoiceportal.dk</v>
      </c>
      <c r="H41" s="1"/>
      <c r="I41" s="1" t="str">
        <f ca="1">IFERROR(__xludf.DUMMYFUNCTION("""COMPUTED_VALUE""")," Store Kongensgade 53 
")</f>
        <v xml:space="preserve"> Store Kongensgade 53 
</v>
      </c>
      <c r="J41" s="1">
        <f ca="1">IFERROR(__xludf.DUMMYFUNCTION("""COMPUTED_VALUE"""),1264)</f>
        <v>1264</v>
      </c>
      <c r="K41" s="1" t="str">
        <f ca="1">IFERROR(__xludf.DUMMYFUNCTION("""COMPUTED_VALUE"""),"København K")</f>
        <v>København K</v>
      </c>
      <c r="L41" s="1"/>
      <c r="M41" s="1"/>
      <c r="N41" s="1"/>
      <c r="O41" s="1">
        <f ca="1">IFERROR(__xludf.DUMMYFUNCTION("""COMPUTED_VALUE"""),32830600)</f>
        <v>32830600</v>
      </c>
      <c r="P41" s="1" t="str">
        <f ca="1">IFERROR(__xludf.DUMMYFUNCTION("""COMPUTED_VALUE"""),"city@paulun.dk")</f>
        <v>city@paulun.dk</v>
      </c>
      <c r="Q41" s="26" t="str">
        <f ca="1">IFERROR(__xludf.DUMMYFUNCTION("""COMPUTED_VALUE"""),"https://www.boliga.dk/maegler/25793")</f>
        <v>https://www.boliga.dk/maegler/25793</v>
      </c>
      <c r="R41" s="1"/>
      <c r="S41" s="27"/>
      <c r="T41" s="1"/>
      <c r="U41" s="1"/>
      <c r="V41" s="1"/>
      <c r="W41" s="1"/>
      <c r="X41" s="1"/>
      <c r="Y41" s="1" t="str">
        <f ca="1">IFERROR(__xludf.DUMMYFUNCTION("""COMPUTED_VALUE"""),"ja")</f>
        <v>ja</v>
      </c>
      <c r="Z41" s="1"/>
      <c r="AA41" s="20"/>
      <c r="AB41" s="1"/>
      <c r="AC41" s="1"/>
      <c r="AD41" s="1"/>
      <c r="AE41" s="1"/>
    </row>
    <row r="42" spans="1:31" ht="12.5">
      <c r="A42" s="1" t="str">
        <f ca="1">IFERROR(__xludf.DUMMYFUNCTION("""COMPUTED_VALUE"""),"Martin")</f>
        <v>Martin</v>
      </c>
      <c r="B42" s="1" t="str">
        <f ca="1">IFERROR(__xludf.DUMMYFUNCTION("""COMPUTED_VALUE"""),"DB Vangede- Dyssegård")</f>
        <v>DB Vangede- Dyssegård</v>
      </c>
      <c r="C42" s="21">
        <f ca="1">IFERROR(__xludf.DUMMYFUNCTION("""COMPUTED_VALUE"""),31176107)</f>
        <v>31176107</v>
      </c>
      <c r="D42" s="21" t="str">
        <f ca="1">IFERROR(__xludf.DUMMYFUNCTION("""COMPUTED_VALUE"""),"MG-PM-SJ: 2.600,-")</f>
        <v>MG-PM-SJ: 2.600,-</v>
      </c>
      <c r="E42" s="21">
        <f ca="1">IFERROR(__xludf.DUMMYFUNCTION("""COMPUTED_VALUE"""),1204)</f>
        <v>1204</v>
      </c>
      <c r="F42" s="21"/>
      <c r="G42" s="1" t="str">
        <f ca="1">IFERROR(__xludf.DUMMYFUNCTION("""COMPUTED_VALUE"""),"Tyge.hellberg@danbolig.dk")</f>
        <v>Tyge.hellberg@danbolig.dk</v>
      </c>
      <c r="H42" s="1"/>
      <c r="I42" s="1" t="str">
        <f ca="1">IFERROR(__xludf.DUMMYFUNCTION("""COMPUTED_VALUE"""),"Brogårdsvej 137")</f>
        <v>Brogårdsvej 137</v>
      </c>
      <c r="J42" s="1">
        <f ca="1">IFERROR(__xludf.DUMMYFUNCTION("""COMPUTED_VALUE"""),2820)</f>
        <v>2820</v>
      </c>
      <c r="K42" s="1" t="str">
        <f ca="1">IFERROR(__xludf.DUMMYFUNCTION("""COMPUTED_VALUE"""),"Gentofte")</f>
        <v>Gentofte</v>
      </c>
      <c r="L42" s="1"/>
      <c r="M42" s="1"/>
      <c r="N42" s="1"/>
      <c r="O42" s="1" t="str">
        <f ca="1">IFERROR(__xludf.DUMMYFUNCTION("""COMPUTED_VALUE"""),"3940 8090")</f>
        <v>3940 8090</v>
      </c>
      <c r="P42" s="1" t="str">
        <f ca="1">IFERROR(__xludf.DUMMYFUNCTION("""COMPUTED_VALUE"""),"vangede@danbolig.dk")</f>
        <v>vangede@danbolig.dk</v>
      </c>
      <c r="Q42" s="26" t="str">
        <f ca="1">IFERROR(__xludf.DUMMYFUNCTION("""COMPUTED_VALUE"""),"https://www.boliga.dk/maegler/867")</f>
        <v>https://www.boliga.dk/maegler/867</v>
      </c>
      <c r="R42" s="1"/>
      <c r="S42" s="27"/>
      <c r="T42" s="1"/>
      <c r="U42" s="1"/>
      <c r="V42" s="1"/>
      <c r="W42" s="1"/>
      <c r="X42" s="1"/>
      <c r="Y42" s="1" t="str">
        <f ca="1">IFERROR(__xludf.DUMMYFUNCTION("""COMPUTED_VALUE"""),"ja")</f>
        <v>ja</v>
      </c>
      <c r="Z42" s="1"/>
      <c r="AA42" s="20"/>
      <c r="AB42" s="1"/>
      <c r="AC42" s="1"/>
      <c r="AD42" s="1"/>
      <c r="AE42" s="1"/>
    </row>
    <row r="43" spans="1:31" ht="12.5">
      <c r="A43" s="1" t="str">
        <f ca="1">IFERROR(__xludf.DUMMYFUNCTION("""COMPUTED_VALUE"""),"Martin")</f>
        <v>Martin</v>
      </c>
      <c r="B43" s="1" t="str">
        <f ca="1">IFERROR(__xludf.DUMMYFUNCTION("""COMPUTED_VALUE"""),"RealMæglerne HALLBERG BOLIG")</f>
        <v>RealMæglerne HALLBERG BOLIG</v>
      </c>
      <c r="C43" s="21">
        <f ca="1">IFERROR(__xludf.DUMMYFUNCTION("""COMPUTED_VALUE"""),29696411)</f>
        <v>29696411</v>
      </c>
      <c r="D43" s="21" t="str">
        <f ca="1">IFERROR(__xludf.DUMMYFUNCTION("""COMPUTED_VALUE"""),"MG-PM-SJ: 2.600,-")</f>
        <v>MG-PM-SJ: 2.600,-</v>
      </c>
      <c r="E43" s="21">
        <f ca="1">IFERROR(__xludf.DUMMYFUNCTION("""COMPUTED_VALUE"""),1204)</f>
        <v>1204</v>
      </c>
      <c r="F43" s="21"/>
      <c r="G43" s="1" t="s">
        <v>1648</v>
      </c>
      <c r="H43" s="1"/>
      <c r="I43" s="1" t="str">
        <f ca="1">IFERROR(__xludf.DUMMYFUNCTION("""COMPUTED_VALUE"""),"Hovedvejen 118")</f>
        <v>Hovedvejen 118</v>
      </c>
      <c r="J43" s="1">
        <f ca="1">IFERROR(__xludf.DUMMYFUNCTION("""COMPUTED_VALUE"""),2600)</f>
        <v>2600</v>
      </c>
      <c r="K43" s="1" t="str">
        <f ca="1">IFERROR(__xludf.DUMMYFUNCTION("""COMPUTED_VALUE"""),"Glostrup")</f>
        <v>Glostrup</v>
      </c>
      <c r="L43" s="1"/>
      <c r="M43" s="1"/>
      <c r="N43" s="1"/>
      <c r="O43" s="1">
        <f ca="1">IFERROR(__xludf.DUMMYFUNCTION("""COMPUTED_VALUE"""),43430304)</f>
        <v>43430304</v>
      </c>
      <c r="P43" s="1" t="str">
        <f ca="1">IFERROR(__xludf.DUMMYFUNCTION("""COMPUTED_VALUE"""),"2600@mailreal.dk")</f>
        <v>2600@mailreal.dk</v>
      </c>
      <c r="Q43" s="26" t="str">
        <f ca="1">IFERROR(__xludf.DUMMYFUNCTION("""COMPUTED_VALUE"""),"https://www.boliga.dk/maegler/551")</f>
        <v>https://www.boliga.dk/maegler/551</v>
      </c>
      <c r="R43" s="1"/>
      <c r="S43" s="27"/>
      <c r="T43" s="1"/>
      <c r="U43" s="1"/>
      <c r="V43" s="1"/>
      <c r="W43" s="1"/>
      <c r="X43" s="1"/>
      <c r="Y43" s="1" t="str">
        <f ca="1">IFERROR(__xludf.DUMMYFUNCTION("""COMPUTED_VALUE"""),"ja")</f>
        <v>ja</v>
      </c>
      <c r="Z43" s="1"/>
      <c r="AA43" s="20"/>
      <c r="AB43" s="1"/>
      <c r="AC43" s="1"/>
      <c r="AD43" s="1"/>
      <c r="AE43" s="1"/>
    </row>
    <row r="44" spans="1:31" ht="12.5">
      <c r="A44" s="1" t="str">
        <f ca="1">IFERROR(__xludf.DUMMYFUNCTION("""COMPUTED_VALUE"""),"Martin")</f>
        <v>Martin</v>
      </c>
      <c r="B44" s="1" t="str">
        <f ca="1">IFERROR(__xludf.DUMMYFUNCTION("""COMPUTED_VALUE"""),"RealMæglerne HALLBERG BOLIG")</f>
        <v>RealMæglerne HALLBERG BOLIG</v>
      </c>
      <c r="C44" s="21">
        <f ca="1">IFERROR(__xludf.DUMMYFUNCTION("""COMPUTED_VALUE"""),29696411)</f>
        <v>29696411</v>
      </c>
      <c r="D44" s="21" t="str">
        <f ca="1">IFERROR(__xludf.DUMMYFUNCTION("""COMPUTED_VALUE"""),"MG-PM-SJ: 2.600,-")</f>
        <v>MG-PM-SJ: 2.600,-</v>
      </c>
      <c r="E44" s="21">
        <f ca="1">IFERROR(__xludf.DUMMYFUNCTION("""COMPUTED_VALUE"""),1204)</f>
        <v>1204</v>
      </c>
      <c r="F44" s="21"/>
      <c r="G44" s="1" t="s">
        <v>1648</v>
      </c>
      <c r="H44" s="1"/>
      <c r="I44" s="1"/>
      <c r="J44" s="1"/>
      <c r="K44" s="1"/>
      <c r="L44" s="1"/>
      <c r="M44" s="1"/>
      <c r="N44" s="1"/>
      <c r="O44" s="1">
        <f ca="1">IFERROR(__xludf.DUMMYFUNCTION("""COMPUTED_VALUE"""),29696411)</f>
        <v>29696411</v>
      </c>
      <c r="P44" s="1"/>
      <c r="Q44" s="26" t="str">
        <f ca="1">IFERROR(__xludf.DUMMYFUNCTION("""COMPUTED_VALUE"""),"https://www.boliga.dk/maegler/27742")</f>
        <v>https://www.boliga.dk/maegler/27742</v>
      </c>
      <c r="R44" s="1"/>
      <c r="S44" s="27"/>
      <c r="T44" s="1"/>
      <c r="U44" s="1"/>
      <c r="V44" s="1"/>
      <c r="W44" s="1"/>
      <c r="X44" s="1"/>
      <c r="Y44" s="1" t="str">
        <f ca="1">IFERROR(__xludf.DUMMYFUNCTION("""COMPUTED_VALUE"""),"ja")</f>
        <v>ja</v>
      </c>
      <c r="Z44" s="1"/>
      <c r="AA44" s="20"/>
      <c r="AB44" s="1"/>
      <c r="AC44" s="1"/>
      <c r="AD44" s="1"/>
      <c r="AE44" s="1"/>
    </row>
    <row r="45" spans="1:31" ht="12.5">
      <c r="A45" s="1" t="str">
        <f ca="1">IFERROR(__xludf.DUMMYFUNCTION("""COMPUTED_VALUE"""),"Martin")</f>
        <v>Martin</v>
      </c>
      <c r="B45" s="1" t="str">
        <f ca="1">IFERROR(__xludf.DUMMYFUNCTION("""COMPUTED_VALUE"""),"DB Hjørring")</f>
        <v>DB Hjørring</v>
      </c>
      <c r="C45" s="21">
        <v>32786022</v>
      </c>
      <c r="D45" s="21" t="s">
        <v>0</v>
      </c>
      <c r="E45" s="21">
        <v>1203</v>
      </c>
      <c r="F45" s="21"/>
      <c r="G45" s="1" t="str">
        <f ca="1">IFERROR(__xludf.DUMMYFUNCTION("""COMPUTED_VALUE"""),"Kristian.rask@danbolig.dk")</f>
        <v>Kristian.rask@danbolig.dk</v>
      </c>
      <c r="H45" s="1"/>
      <c r="I45" s="1" t="str">
        <f ca="1">IFERROR(__xludf.DUMMYFUNCTION("""COMPUTED_VALUE"""),"Østergade 12")</f>
        <v>Østergade 12</v>
      </c>
      <c r="J45" s="1">
        <f ca="1">IFERROR(__xludf.DUMMYFUNCTION("""COMPUTED_VALUE"""),9800)</f>
        <v>9800</v>
      </c>
      <c r="K45" s="1" t="str">
        <f ca="1">IFERROR(__xludf.DUMMYFUNCTION("""COMPUTED_VALUE"""),"Hjørring")</f>
        <v>Hjørring</v>
      </c>
      <c r="L45" s="1"/>
      <c r="M45" s="1"/>
      <c r="N45" s="29"/>
      <c r="O45" s="1" t="str">
        <f ca="1">IFERROR(__xludf.DUMMYFUNCTION("""COMPUTED_VALUE"""),"9623 4590")</f>
        <v>9623 4590</v>
      </c>
      <c r="P45" s="1" t="str">
        <f ca="1">IFERROR(__xludf.DUMMYFUNCTION("""COMPUTED_VALUE"""),"Hjoerring@danbolig.dk")</f>
        <v>Hjoerring@danbolig.dk</v>
      </c>
      <c r="Q45" s="26" t="str">
        <f ca="1">IFERROR(__xludf.DUMMYFUNCTION("""COMPUTED_VALUE"""),"https://www.boliga.dk/maegler/76")</f>
        <v>https://www.boliga.dk/maegler/76</v>
      </c>
      <c r="R45" s="1"/>
      <c r="S45" s="27"/>
      <c r="T45" s="1"/>
      <c r="U45" s="1"/>
      <c r="V45" s="1"/>
      <c r="W45" s="1"/>
      <c r="X45" s="1"/>
      <c r="Y45" s="1" t="str">
        <f ca="1">IFERROR(__xludf.DUMMYFUNCTION("""COMPUTED_VALUE"""),"ja")</f>
        <v>ja</v>
      </c>
      <c r="Z45" s="1"/>
      <c r="AA45" s="20"/>
      <c r="AB45" s="1"/>
      <c r="AC45" s="1"/>
      <c r="AD45" s="1"/>
      <c r="AE45" s="1"/>
    </row>
    <row r="46" spans="1:31" ht="12.5">
      <c r="A46" s="1" t="str">
        <f ca="1">IFERROR(__xludf.DUMMYFUNCTION("""COMPUTED_VALUE"""),"Martin")</f>
        <v>Martin</v>
      </c>
      <c r="B46" s="1" t="str">
        <f ca="1">IFERROR(__xludf.DUMMYFUNCTION("""COMPUTED_VALUE"""),"NYBOLIG SLAGELSE")</f>
        <v>NYBOLIG SLAGELSE</v>
      </c>
      <c r="C46" s="21">
        <f ca="1">IFERROR(__xludf.DUMMYFUNCTION("""COMPUTED_VALUE"""),32347851)</f>
        <v>32347851</v>
      </c>
      <c r="D46" s="21" t="str">
        <f ca="1">IFERROR(__xludf.DUMMYFUNCTION("""COMPUTED_VALUE"""),"MG-PM-SJ: 2.600,-")</f>
        <v>MG-PM-SJ: 2.600,-</v>
      </c>
      <c r="E46" s="21">
        <f ca="1">IFERROR(__xludf.DUMMYFUNCTION("""COMPUTED_VALUE"""),1204)</f>
        <v>1204</v>
      </c>
      <c r="F46" s="21"/>
      <c r="G46" s="1" t="str">
        <f ca="1">IFERROR(__xludf.DUMMYFUNCTION("""COMPUTED_VALUE"""),"4203@nybolig.dk ")</f>
        <v xml:space="preserve">4203@nybolig.dk </v>
      </c>
      <c r="H46" s="1"/>
      <c r="I46" s="1" t="str">
        <f ca="1">IFERROR(__xludf.DUMMYFUNCTION("""COMPUTED_VALUE"""),"Rosengade 11 A ")</f>
        <v xml:space="preserve">Rosengade 11 A </v>
      </c>
      <c r="J46" s="1">
        <f ca="1">IFERROR(__xludf.DUMMYFUNCTION("""COMPUTED_VALUE"""),4200)</f>
        <v>4200</v>
      </c>
      <c r="K46" s="1" t="str">
        <f ca="1">IFERROR(__xludf.DUMMYFUNCTION("""COMPUTED_VALUE"""),"Slagelse")</f>
        <v>Slagelse</v>
      </c>
      <c r="L46" s="1"/>
      <c r="M46" s="1"/>
      <c r="N46" s="1"/>
      <c r="O46" s="1" t="str">
        <f ca="1">IFERROR(__xludf.DUMMYFUNCTION("""COMPUTED_VALUE"""),"5853 3030")</f>
        <v>5853 3030</v>
      </c>
      <c r="P46" s="1" t="str">
        <f ca="1">IFERROR(__xludf.DUMMYFUNCTION("""COMPUTED_VALUE"""),"4201@nybolig.dk")</f>
        <v>4201@nybolig.dk</v>
      </c>
      <c r="Q46" s="26" t="str">
        <f ca="1">IFERROR(__xludf.DUMMYFUNCTION("""COMPUTED_VALUE"""),"https://www.boliga.dk/maegler/995")</f>
        <v>https://www.boliga.dk/maegler/995</v>
      </c>
      <c r="R46" s="1"/>
      <c r="S46" s="1"/>
      <c r="T46" s="1"/>
      <c r="U46" s="1"/>
      <c r="V46" s="1"/>
      <c r="W46" s="1"/>
      <c r="X46" s="1"/>
      <c r="Y46" s="1" t="str">
        <f ca="1">IFERROR(__xludf.DUMMYFUNCTION("""COMPUTED_VALUE"""),"ja")</f>
        <v>ja</v>
      </c>
      <c r="Z46" s="1"/>
      <c r="AA46" s="20"/>
      <c r="AB46" s="1"/>
      <c r="AC46" s="1"/>
      <c r="AD46" s="1"/>
      <c r="AE46" s="1"/>
    </row>
    <row r="47" spans="1:31" ht="12.5">
      <c r="A47" s="1" t="str">
        <f ca="1">IFERROR(__xludf.DUMMYFUNCTION("""COMPUTED_VALUE"""),"Martin")</f>
        <v>Martin</v>
      </c>
      <c r="B47" s="1" t="str">
        <f ca="1">IFERROR(__xludf.DUMMYFUNCTION("""COMPUTED_VALUE"""),"Nybolig Skælskør A/S")</f>
        <v>Nybolig Skælskør A/S</v>
      </c>
      <c r="C47" s="21">
        <f ca="1">IFERROR(__xludf.DUMMYFUNCTION("""COMPUTED_VALUE"""),32347851)</f>
        <v>32347851</v>
      </c>
      <c r="D47" s="21" t="str">
        <f ca="1">IFERROR(__xludf.DUMMYFUNCTION("""COMPUTED_VALUE"""),"MG-PM-SJ: 2.600,-")</f>
        <v>MG-PM-SJ: 2.600,-</v>
      </c>
      <c r="E47" s="21">
        <f ca="1">IFERROR(__xludf.DUMMYFUNCTION("""COMPUTED_VALUE"""),1204)</f>
        <v>1204</v>
      </c>
      <c r="F47" s="21"/>
      <c r="G47" s="1" t="str">
        <f ca="1">IFERROR(__xludf.DUMMYFUNCTION("""COMPUTED_VALUE"""),"4203@nybolig.dk ")</f>
        <v xml:space="preserve">4203@nybolig.dk </v>
      </c>
      <c r="H47" s="1"/>
      <c r="I47" s="1" t="str">
        <f ca="1">IFERROR(__xludf.DUMMYFUNCTION("""COMPUTED_VALUE"""),"Algade 39")</f>
        <v>Algade 39</v>
      </c>
      <c r="J47" s="1">
        <f ca="1">IFERROR(__xludf.DUMMYFUNCTION("""COMPUTED_VALUE"""),4230)</f>
        <v>4230</v>
      </c>
      <c r="K47" s="1" t="str">
        <f ca="1">IFERROR(__xludf.DUMMYFUNCTION("""COMPUTED_VALUE"""),"Skælskør")</f>
        <v>Skælskør</v>
      </c>
      <c r="L47" s="1"/>
      <c r="M47" s="1"/>
      <c r="N47" s="1"/>
      <c r="O47" s="1" t="str">
        <f ca="1">IFERROR(__xludf.DUMMYFUNCTION("""COMPUTED_VALUE"""),"5819 1088")</f>
        <v>5819 1088</v>
      </c>
      <c r="P47" s="1" t="str">
        <f ca="1">IFERROR(__xludf.DUMMYFUNCTION("""COMPUTED_VALUE"""),"4230@nybolig.dk")</f>
        <v>4230@nybolig.dk</v>
      </c>
      <c r="Q47" s="26" t="str">
        <f ca="1">IFERROR(__xludf.DUMMYFUNCTION("""COMPUTED_VALUE"""),"https://www.boliga.dk/maegler/239")</f>
        <v>https://www.boliga.dk/maegler/239</v>
      </c>
      <c r="R47" s="1"/>
      <c r="S47" s="1"/>
      <c r="T47" s="1"/>
      <c r="U47" s="1"/>
      <c r="V47" s="1"/>
      <c r="W47" s="1"/>
      <c r="X47" s="1"/>
      <c r="Y47" s="1" t="str">
        <f ca="1">IFERROR(__xludf.DUMMYFUNCTION("""COMPUTED_VALUE"""),"ja")</f>
        <v>ja</v>
      </c>
      <c r="Z47" s="1"/>
      <c r="AA47" s="20"/>
      <c r="AB47" s="1"/>
      <c r="AC47" s="1"/>
      <c r="AD47" s="1"/>
      <c r="AE47" s="1"/>
    </row>
    <row r="48" spans="1:31" ht="12.5">
      <c r="A48" s="1" t="str">
        <f ca="1">IFERROR(__xludf.DUMMYFUNCTION("""COMPUTED_VALUE"""),"Martin")</f>
        <v>Martin</v>
      </c>
      <c r="B48" s="1" t="str">
        <f ca="1">IFERROR(__xludf.DUMMYFUNCTION("""COMPUTED_VALUE"""),"Db Hillerød")</f>
        <v>Db Hillerød</v>
      </c>
      <c r="C48" s="21">
        <f ca="1">IFERROR(__xludf.DUMMYFUNCTION("""COMPUTED_VALUE"""),40847898)</f>
        <v>40847898</v>
      </c>
      <c r="D48" s="21" t="str">
        <f ca="1">IFERROR(__xludf.DUMMYFUNCTION("""COMPUTED_VALUE"""),"MG-PM-SJ: 2.600,-")</f>
        <v>MG-PM-SJ: 2.600,-</v>
      </c>
      <c r="E48" s="21">
        <f ca="1">IFERROR(__xludf.DUMMYFUNCTION("""COMPUTED_VALUE"""),1204)</f>
        <v>1204</v>
      </c>
      <c r="F48" s="21"/>
      <c r="G48" s="1" t="str">
        <f ca="1">IFERROR(__xludf.DUMMYFUNCTION("""COMPUTED_VALUE"""),"jan.persson@danbolig.dk")</f>
        <v>jan.persson@danbolig.dk</v>
      </c>
      <c r="H48" s="1"/>
      <c r="I48" s="1" t="str">
        <f ca="1">IFERROR(__xludf.DUMMYFUNCTION("""COMPUTED_VALUE"""),"Frederiksværksgade 7
")</f>
        <v xml:space="preserve">Frederiksværksgade 7
</v>
      </c>
      <c r="J48" s="1">
        <f ca="1">IFERROR(__xludf.DUMMYFUNCTION("""COMPUTED_VALUE"""),3400)</f>
        <v>3400</v>
      </c>
      <c r="K48" s="1" t="str">
        <f ca="1">IFERROR(__xludf.DUMMYFUNCTION("""COMPUTED_VALUE"""),"Hillerød")</f>
        <v>Hillerød</v>
      </c>
      <c r="L48" s="1"/>
      <c r="M48" s="1"/>
      <c r="N48" s="1"/>
      <c r="O48" s="1">
        <f ca="1">IFERROR(__xludf.DUMMYFUNCTION("""COMPUTED_VALUE"""),48242111)</f>
        <v>48242111</v>
      </c>
      <c r="P48" s="1" t="str">
        <f ca="1">IFERROR(__xludf.DUMMYFUNCTION("""COMPUTED_VALUE"""),"hilleroed@danbolig.dk")</f>
        <v>hilleroed@danbolig.dk</v>
      </c>
      <c r="Q48" s="26" t="str">
        <f ca="1">IFERROR(__xludf.DUMMYFUNCTION("""COMPUTED_VALUE"""),"https://www.boliga.dk/maegler/26405")</f>
        <v>https://www.boliga.dk/maegler/26405</v>
      </c>
      <c r="R48" s="1"/>
      <c r="S48" s="27"/>
      <c r="T48" s="1"/>
      <c r="U48" s="1"/>
      <c r="V48" s="1"/>
      <c r="W48" s="1"/>
      <c r="X48" s="1"/>
      <c r="Y48" s="1" t="str">
        <f ca="1">IFERROR(__xludf.DUMMYFUNCTION("""COMPUTED_VALUE"""),"ja")</f>
        <v>ja</v>
      </c>
      <c r="Z48" s="1"/>
      <c r="AA48" s="20"/>
      <c r="AB48" s="1"/>
      <c r="AC48" s="1"/>
      <c r="AD48" s="1"/>
      <c r="AE48" s="1"/>
    </row>
    <row r="49" spans="1:31" ht="12.5">
      <c r="A49" s="1" t="str">
        <f ca="1">IFERROR(__xludf.DUMMYFUNCTION("""COMPUTED_VALUE"""),"Martin")</f>
        <v>Martin</v>
      </c>
      <c r="B49" s="1" t="str">
        <f ca="1">IFERROR(__xludf.DUMMYFUNCTION("""COMPUTED_VALUE"""),"Danbolig Nørrebro")</f>
        <v>Danbolig Nørrebro</v>
      </c>
      <c r="C49" s="21">
        <f ca="1">IFERROR(__xludf.DUMMYFUNCTION("""COMPUTED_VALUE"""),26671345)</f>
        <v>26671345</v>
      </c>
      <c r="D49" s="21" t="str">
        <f ca="1">IFERROR(__xludf.DUMMYFUNCTION("""COMPUTED_VALUE"""),"MG-PM-SJ: 2.600,-")</f>
        <v>MG-PM-SJ: 2.600,-</v>
      </c>
      <c r="E49" s="21">
        <f ca="1">IFERROR(__xludf.DUMMYFUNCTION("""COMPUTED_VALUE"""),1204)</f>
        <v>1204</v>
      </c>
      <c r="F49" s="21"/>
      <c r="G49" s="1" t="str">
        <f ca="1">IFERROR(__xludf.DUMMYFUNCTION("""COMPUTED_VALUE"""),"henrik.bredo@danbolig.dk")</f>
        <v>henrik.bredo@danbolig.dk</v>
      </c>
      <c r="H49" s="1"/>
      <c r="I49" s="1" t="str">
        <f ca="1">IFERROR(__xludf.DUMMYFUNCTION("""COMPUTED_VALUE"""),"
 Fælledvej 6
")</f>
        <v xml:space="preserve">
 Fælledvej 6
</v>
      </c>
      <c r="J49" s="1">
        <f ca="1">IFERROR(__xludf.DUMMYFUNCTION("""COMPUTED_VALUE"""),2200)</f>
        <v>2200</v>
      </c>
      <c r="K49" s="1" t="str">
        <f ca="1">IFERROR(__xludf.DUMMYFUNCTION("""COMPUTED_VALUE"""),"København N")</f>
        <v>København N</v>
      </c>
      <c r="L49" s="1"/>
      <c r="M49" s="1"/>
      <c r="N49" s="1"/>
      <c r="O49" s="1" t="str">
        <f ca="1">IFERROR(__xludf.DUMMYFUNCTION("""COMPUTED_VALUE"""),"3536 1444")</f>
        <v>3536 1444</v>
      </c>
      <c r="P49" s="1" t="str">
        <f ca="1">IFERROR(__xludf.DUMMYFUNCTION("""COMPUTED_VALUE"""),"Noerrebro@DanBolig.dk")</f>
        <v>Noerrebro@DanBolig.dk</v>
      </c>
      <c r="Q49" s="26" t="str">
        <f ca="1">IFERROR(__xludf.DUMMYFUNCTION("""COMPUTED_VALUE"""),"https://www.boliga.dk/maegler/825")</f>
        <v>https://www.boliga.dk/maegler/825</v>
      </c>
      <c r="R49" s="1"/>
      <c r="S49" s="27"/>
      <c r="T49" s="1"/>
      <c r="U49" s="1"/>
      <c r="V49" s="1"/>
      <c r="W49" s="1"/>
      <c r="X49" s="1"/>
      <c r="Y49" s="1" t="str">
        <f ca="1">IFERROR(__xludf.DUMMYFUNCTION("""COMPUTED_VALUE"""),"ja")</f>
        <v>ja</v>
      </c>
      <c r="Z49" s="1"/>
      <c r="AA49" s="20"/>
      <c r="AB49" s="1"/>
      <c r="AC49" s="1"/>
      <c r="AD49" s="1"/>
      <c r="AE49" s="1"/>
    </row>
    <row r="50" spans="1:31" ht="12.5">
      <c r="A50" s="1" t="str">
        <f ca="1">IFERROR(__xludf.DUMMYFUNCTION("""COMPUTED_VALUE"""),"Martin")</f>
        <v>Martin</v>
      </c>
      <c r="B50" s="1" t="str">
        <f ca="1">IFERROR(__xludf.DUMMYFUNCTION("""COMPUTED_VALUE"""),"Danbolig Nordvest")</f>
        <v>Danbolig Nordvest</v>
      </c>
      <c r="C50" s="21">
        <f ca="1">IFERROR(__xludf.DUMMYFUNCTION("""COMPUTED_VALUE"""),28977441)</f>
        <v>28977441</v>
      </c>
      <c r="D50" s="21" t="str">
        <f ca="1">IFERROR(__xludf.DUMMYFUNCTION("""COMPUTED_VALUE"""),"MG-PM-SJ: 2.600,-")</f>
        <v>MG-PM-SJ: 2.600,-</v>
      </c>
      <c r="E50" s="21">
        <f ca="1">IFERROR(__xludf.DUMMYFUNCTION("""COMPUTED_VALUE"""),1204)</f>
        <v>1204</v>
      </c>
      <c r="F50" s="21"/>
      <c r="G50" s="1" t="str">
        <f ca="1">IFERROR(__xludf.DUMMYFUNCTION("""COMPUTED_VALUE"""),"henrik.bredo@danbolig.dk")</f>
        <v>henrik.bredo@danbolig.dk</v>
      </c>
      <c r="H50" s="1"/>
      <c r="I50" s="1" t="str">
        <f ca="1">IFERROR(__xludf.DUMMYFUNCTION("""COMPUTED_VALUE"""),"Frederiksborgvej 39")</f>
        <v>Frederiksborgvej 39</v>
      </c>
      <c r="J50" s="1">
        <f ca="1">IFERROR(__xludf.DUMMYFUNCTION("""COMPUTED_VALUE"""),2400)</f>
        <v>2400</v>
      </c>
      <c r="K50" s="1" t="str">
        <f ca="1">IFERROR(__xludf.DUMMYFUNCTION("""COMPUTED_VALUE"""),"København NV")</f>
        <v>København NV</v>
      </c>
      <c r="L50" s="1"/>
      <c r="M50" s="1"/>
      <c r="N50" s="1"/>
      <c r="O50" s="1">
        <f ca="1">IFERROR(__xludf.DUMMYFUNCTION("""COMPUTED_VALUE"""),38101444)</f>
        <v>38101444</v>
      </c>
      <c r="P50" s="1" t="str">
        <f ca="1">IFERROR(__xludf.DUMMYFUNCTION("""COMPUTED_VALUE"""),"nordvest@danbolig.dk")</f>
        <v>nordvest@danbolig.dk</v>
      </c>
      <c r="Q50" s="26" t="str">
        <f ca="1">IFERROR(__xludf.DUMMYFUNCTION("""COMPUTED_VALUE"""),"https://www.boliga.dk/maegler/135")</f>
        <v>https://www.boliga.dk/maegler/135</v>
      </c>
      <c r="R50" s="1"/>
      <c r="S50" s="27"/>
      <c r="T50" s="1"/>
      <c r="U50" s="1"/>
      <c r="V50" s="1"/>
      <c r="W50" s="1"/>
      <c r="X50" s="1"/>
      <c r="Y50" s="1" t="str">
        <f ca="1">IFERROR(__xludf.DUMMYFUNCTION("""COMPUTED_VALUE"""),"ja")</f>
        <v>ja</v>
      </c>
      <c r="Z50" s="1"/>
      <c r="AA50" s="20"/>
      <c r="AB50" s="1"/>
      <c r="AC50" s="1"/>
      <c r="AD50" s="1"/>
      <c r="AE50" s="1"/>
    </row>
    <row r="51" spans="1:31" ht="12.5">
      <c r="A51" s="1" t="str">
        <f ca="1">IFERROR(__xludf.DUMMYFUNCTION("""COMPUTED_VALUE"""),"Martin")</f>
        <v>Martin</v>
      </c>
      <c r="B51" s="1" t="str">
        <f ca="1">IFERROR(__xludf.DUMMYFUNCTION("""COMPUTED_VALUE"""),"FISCHER, BOLIGCENTER VESTERBRO ApS")</f>
        <v>FISCHER, BOLIGCENTER VESTERBRO ApS</v>
      </c>
      <c r="C51" s="21">
        <f ca="1">IFERROR(__xludf.DUMMYFUNCTION("""COMPUTED_VALUE"""),34485526)</f>
        <v>34485526</v>
      </c>
      <c r="D51" s="21" t="str">
        <f ca="1">IFERROR(__xludf.DUMMYFUNCTION("""COMPUTED_VALUE"""),"MG-PM-SJ: 2.600,-")</f>
        <v>MG-PM-SJ: 2.600,-</v>
      </c>
      <c r="E51" s="21">
        <f ca="1">IFERROR(__xludf.DUMMYFUNCTION("""COMPUTED_VALUE"""),1204)</f>
        <v>1204</v>
      </c>
      <c r="F51" s="21"/>
      <c r="G51" s="1" t="str">
        <f ca="1">IFERROR(__xludf.DUMMYFUNCTION("""COMPUTED_VALUE"""),"kim.fischer@danbolig.dk")</f>
        <v>kim.fischer@danbolig.dk</v>
      </c>
      <c r="H51" s="1"/>
      <c r="I51" s="1" t="str">
        <f ca="1">IFERROR(__xludf.DUMMYFUNCTION("""COMPUTED_VALUE"""),"Istedgade 132  
")</f>
        <v xml:space="preserve">Istedgade 132  
</v>
      </c>
      <c r="J51" s="1">
        <f ca="1">IFERROR(__xludf.DUMMYFUNCTION("""COMPUTED_VALUE"""),1650)</f>
        <v>1650</v>
      </c>
      <c r="K51" s="1" t="str">
        <f ca="1">IFERROR(__xludf.DUMMYFUNCTION("""COMPUTED_VALUE"""),"København V")</f>
        <v>København V</v>
      </c>
      <c r="L51" s="1"/>
      <c r="M51" s="1"/>
      <c r="N51" s="1"/>
      <c r="O51" s="1">
        <f ca="1">IFERROR(__xludf.DUMMYFUNCTION("""COMPUTED_VALUE"""),32551444)</f>
        <v>32551444</v>
      </c>
      <c r="P51" s="1" t="str">
        <f ca="1">IFERROR(__xludf.DUMMYFUNCTION("""COMPUTED_VALUE"""),"vesterbro@danbolig.dk")</f>
        <v>vesterbro@danbolig.dk</v>
      </c>
      <c r="Q51" s="26" t="str">
        <f ca="1">IFERROR(__xludf.DUMMYFUNCTION("""COMPUTED_VALUE"""),"https://www.boliga.dk/maegler/17934")</f>
        <v>https://www.boliga.dk/maegler/17934</v>
      </c>
      <c r="R51" s="1"/>
      <c r="S51" s="27"/>
      <c r="T51" s="1"/>
      <c r="U51" s="1"/>
      <c r="V51" s="1"/>
      <c r="W51" s="1"/>
      <c r="X51" s="1"/>
      <c r="Y51" s="1" t="str">
        <f ca="1">IFERROR(__xludf.DUMMYFUNCTION("""COMPUTED_VALUE"""),"ja")</f>
        <v>ja</v>
      </c>
      <c r="Z51" s="1"/>
      <c r="AA51" s="20"/>
      <c r="AB51" s="1"/>
      <c r="AC51" s="1"/>
      <c r="AD51" s="1"/>
      <c r="AE51" s="1"/>
    </row>
    <row r="52" spans="1:31" ht="12.5">
      <c r="A52" s="1" t="str">
        <f ca="1">IFERROR(__xludf.DUMMYFUNCTION("""COMPUTED_VALUE"""),"Martin")</f>
        <v>Martin</v>
      </c>
      <c r="B52" s="1" t="str">
        <f ca="1">IFERROR(__xludf.DUMMYFUNCTION("""COMPUTED_VALUE"""),"FISCHER, BOLIGCENTER VALBY ApS")</f>
        <v>FISCHER, BOLIGCENTER VALBY ApS</v>
      </c>
      <c r="C52" s="21">
        <f ca="1">IFERROR(__xludf.DUMMYFUNCTION("""COMPUTED_VALUE"""),26671221)</f>
        <v>26671221</v>
      </c>
      <c r="D52" s="21" t="str">
        <f ca="1">IFERROR(__xludf.DUMMYFUNCTION("""COMPUTED_VALUE"""),"MG-PM-SJ: 2.600,-")</f>
        <v>MG-PM-SJ: 2.600,-</v>
      </c>
      <c r="E52" s="21">
        <f ca="1">IFERROR(__xludf.DUMMYFUNCTION("""COMPUTED_VALUE"""),1204)</f>
        <v>1204</v>
      </c>
      <c r="F52" s="21"/>
      <c r="G52" s="1" t="str">
        <f ca="1">IFERROR(__xludf.DUMMYFUNCTION("""COMPUTED_VALUE"""),"kim.fischer@danbolig.dk")</f>
        <v>kim.fischer@danbolig.dk</v>
      </c>
      <c r="H52" s="1"/>
      <c r="I52" s="1" t="str">
        <f ca="1">IFERROR(__xludf.DUMMYFUNCTION("""COMPUTED_VALUE"""),"Valby Langgade 114 ")</f>
        <v xml:space="preserve">Valby Langgade 114 </v>
      </c>
      <c r="J52" s="1">
        <f ca="1">IFERROR(__xludf.DUMMYFUNCTION("""COMPUTED_VALUE"""),2500)</f>
        <v>2500</v>
      </c>
      <c r="K52" s="1" t="str">
        <f ca="1">IFERROR(__xludf.DUMMYFUNCTION("""COMPUTED_VALUE"""),"Valby")</f>
        <v>Valby</v>
      </c>
      <c r="L52" s="1"/>
      <c r="M52" s="1"/>
      <c r="N52" s="1"/>
      <c r="O52" s="1" t="str">
        <f ca="1">IFERROR(__xludf.DUMMYFUNCTION("""COMPUTED_VALUE"""),"3646 1444")</f>
        <v>3646 1444</v>
      </c>
      <c r="P52" s="1" t="str">
        <f ca="1">IFERROR(__xludf.DUMMYFUNCTION("""COMPUTED_VALUE"""),"valby@danbolig.dk")</f>
        <v>valby@danbolig.dk</v>
      </c>
      <c r="Q52" s="26" t="str">
        <f ca="1">IFERROR(__xludf.DUMMYFUNCTION("""COMPUTED_VALUE"""),"https://www.boliga.dk/maegler/201")</f>
        <v>https://www.boliga.dk/maegler/201</v>
      </c>
      <c r="R52" s="1"/>
      <c r="S52" s="27"/>
      <c r="T52" s="1"/>
      <c r="U52" s="1"/>
      <c r="V52" s="1"/>
      <c r="W52" s="1"/>
      <c r="X52" s="1"/>
      <c r="Y52" s="1" t="str">
        <f ca="1">IFERROR(__xludf.DUMMYFUNCTION("""COMPUTED_VALUE"""),"ja")</f>
        <v>ja</v>
      </c>
      <c r="Z52" s="1"/>
      <c r="AA52" s="20"/>
      <c r="AB52" s="1"/>
      <c r="AC52" s="1"/>
      <c r="AD52" s="1"/>
      <c r="AE52" s="1"/>
    </row>
    <row r="53" spans="1:31" ht="12.5">
      <c r="A53" s="1" t="str">
        <f ca="1">IFERROR(__xludf.DUMMYFUNCTION("""COMPUTED_VALUE"""),"Martin")</f>
        <v>Martin</v>
      </c>
      <c r="B53" s="1" t="str">
        <f ca="1">IFERROR(__xludf.DUMMYFUNCTION("""COMPUTED_VALUE"""),"Estate Amager")</f>
        <v>Estate Amager</v>
      </c>
      <c r="C53" s="21">
        <f ca="1">IFERROR(__xludf.DUMMYFUNCTION("""COMPUTED_VALUE"""),32063268)</f>
        <v>32063268</v>
      </c>
      <c r="D53" s="21" t="str">
        <f ca="1">IFERROR(__xludf.DUMMYFUNCTION("""COMPUTED_VALUE"""),"MG-PM-SJ: 2.600,-")</f>
        <v>MG-PM-SJ: 2.600,-</v>
      </c>
      <c r="E53" s="21">
        <f ca="1">IFERROR(__xludf.DUMMYFUNCTION("""COMPUTED_VALUE"""),1204)</f>
        <v>1204</v>
      </c>
      <c r="F53" s="21"/>
      <c r="G53" s="1" t="str">
        <f ca="1">IFERROR(__xludf.DUMMYFUNCTION("""COMPUTED_VALUE"""),"MF@estate.dk")</f>
        <v>MF@estate.dk</v>
      </c>
      <c r="H53" s="1"/>
      <c r="I53" s="1" t="str">
        <f ca="1">IFERROR(__xludf.DUMMYFUNCTION("""COMPUTED_VALUE"""),"
 Amagerbrogade 34 
")</f>
        <v xml:space="preserve">
 Amagerbrogade 34 
</v>
      </c>
      <c r="J53" s="1">
        <f ca="1">IFERROR(__xludf.DUMMYFUNCTION("""COMPUTED_VALUE"""),2300)</f>
        <v>2300</v>
      </c>
      <c r="K53" s="1" t="str">
        <f ca="1">IFERROR(__xludf.DUMMYFUNCTION("""COMPUTED_VALUE"""),"København S")</f>
        <v>København S</v>
      </c>
      <c r="L53" s="1"/>
      <c r="M53" s="1"/>
      <c r="N53" s="1"/>
      <c r="O53" s="1">
        <f ca="1">IFERROR(__xludf.DUMMYFUNCTION("""COMPUTED_VALUE"""),70100077)</f>
        <v>70100077</v>
      </c>
      <c r="P53" s="1" t="str">
        <f ca="1">IFERROR(__xludf.DUMMYFUNCTION("""COMPUTED_VALUE"""),"2300@estate.dk")</f>
        <v>2300@estate.dk</v>
      </c>
      <c r="Q53" s="26" t="str">
        <f ca="1">IFERROR(__xludf.DUMMYFUNCTION("""COMPUTED_VALUE"""),"https://www.boliga.dk/maegler/25169")</f>
        <v>https://www.boliga.dk/maegler/25169</v>
      </c>
      <c r="R53" s="1"/>
      <c r="S53" s="27"/>
      <c r="T53" s="1"/>
      <c r="U53" s="1"/>
      <c r="V53" s="1"/>
      <c r="W53" s="1"/>
      <c r="X53" s="1"/>
      <c r="Y53" s="1" t="str">
        <f ca="1">IFERROR(__xludf.DUMMYFUNCTION("""COMPUTED_VALUE"""),"ja")</f>
        <v>ja</v>
      </c>
      <c r="Z53" s="1"/>
      <c r="AA53" s="20"/>
      <c r="AB53" s="1"/>
      <c r="AC53" s="1"/>
      <c r="AD53" s="1"/>
      <c r="AE53" s="1"/>
    </row>
    <row r="54" spans="1:31" ht="12.5">
      <c r="A54" s="1" t="str">
        <f ca="1">IFERROR(__xludf.DUMMYFUNCTION("""COMPUTED_VALUE"""),"Martin")</f>
        <v>Martin</v>
      </c>
      <c r="B54" s="1" t="str">
        <f ca="1">IFERROR(__xludf.DUMMYFUNCTION("""COMPUTED_VALUE"""),"Estate Amager-Kongelundsvej")</f>
        <v>Estate Amager-Kongelundsvej</v>
      </c>
      <c r="C54" s="21">
        <f ca="1">IFERROR(__xludf.DUMMYFUNCTION("""COMPUTED_VALUE"""),32063268)</f>
        <v>32063268</v>
      </c>
      <c r="D54" s="21" t="str">
        <f ca="1">IFERROR(__xludf.DUMMYFUNCTION("""COMPUTED_VALUE"""),"MG-PM-SJ: 2.600,-")</f>
        <v>MG-PM-SJ: 2.600,-</v>
      </c>
      <c r="E54" s="21">
        <f ca="1">IFERROR(__xludf.DUMMYFUNCTION("""COMPUTED_VALUE"""),1204)</f>
        <v>1204</v>
      </c>
      <c r="F54" s="21"/>
      <c r="G54" s="1" t="str">
        <f ca="1">IFERROR(__xludf.DUMMYFUNCTION("""COMPUTED_VALUE"""),"MF@estate.dk")</f>
        <v>MF@estate.dk</v>
      </c>
      <c r="H54" s="1"/>
      <c r="I54" s="1" t="str">
        <f ca="1">IFERROR(__xludf.DUMMYFUNCTION("""COMPUTED_VALUE"""),"Kongelundsvej 268")</f>
        <v>Kongelundsvej 268</v>
      </c>
      <c r="J54" s="1">
        <f ca="1">IFERROR(__xludf.DUMMYFUNCTION("""COMPUTED_VALUE"""),2770)</f>
        <v>2770</v>
      </c>
      <c r="K54" s="1" t="str">
        <f ca="1">IFERROR(__xludf.DUMMYFUNCTION("""COMPUTED_VALUE"""),"Kastrup")</f>
        <v>Kastrup</v>
      </c>
      <c r="L54" s="1"/>
      <c r="M54" s="1"/>
      <c r="N54" s="1"/>
      <c r="O54" s="1"/>
      <c r="P54" s="1"/>
      <c r="Q54" s="26" t="str">
        <f ca="1">IFERROR(__xludf.DUMMYFUNCTION("""COMPUTED_VALUE"""),"https://www.boliga.dk/maegler/25157")</f>
        <v>https://www.boliga.dk/maegler/25157</v>
      </c>
      <c r="R54" s="1"/>
      <c r="S54" s="27"/>
      <c r="T54" s="1"/>
      <c r="U54" s="1"/>
      <c r="V54" s="1"/>
      <c r="W54" s="1"/>
      <c r="X54" s="1"/>
      <c r="Y54" s="1" t="str">
        <f ca="1">IFERROR(__xludf.DUMMYFUNCTION("""COMPUTED_VALUE"""),"ja")</f>
        <v>ja</v>
      </c>
      <c r="Z54" s="1"/>
      <c r="AA54" s="20"/>
      <c r="AB54" s="1"/>
      <c r="AC54" s="1"/>
      <c r="AD54" s="1"/>
      <c r="AE54" s="1"/>
    </row>
    <row r="55" spans="1:31" ht="12.5">
      <c r="A55" s="1" t="str">
        <f ca="1">IFERROR(__xludf.DUMMYFUNCTION("""COMPUTED_VALUE"""),"Martin")</f>
        <v>Martin</v>
      </c>
      <c r="B55" s="1" t="str">
        <f ca="1">IFERROR(__xludf.DUMMYFUNCTION("""COMPUTED_VALUE"""),"Home Østerbro")</f>
        <v>Home Østerbro</v>
      </c>
      <c r="C55" s="21">
        <f ca="1">IFERROR(__xludf.DUMMYFUNCTION("""COMPUTED_VALUE"""),40098186)</f>
        <v>40098186</v>
      </c>
      <c r="D55" s="21" t="str">
        <f ca="1">IFERROR(__xludf.DUMMYFUNCTION("""COMPUTED_VALUE"""),"MG-PM-SJ: 2.600,-")</f>
        <v>MG-PM-SJ: 2.600,-</v>
      </c>
      <c r="E55" s="21">
        <f ca="1">IFERROR(__xludf.DUMMYFUNCTION("""COMPUTED_VALUE"""),1204)</f>
        <v>1204</v>
      </c>
      <c r="F55" s="21"/>
      <c r="G55" s="1" t="str">
        <f ca="1">IFERROR(__xludf.DUMMYFUNCTION("""COMPUTED_VALUE"""),"mberg@home.dk")</f>
        <v>mberg@home.dk</v>
      </c>
      <c r="H55" s="1"/>
      <c r="I55" s="1" t="str">
        <f ca="1">IFERROR(__xludf.DUMMYFUNCTION("""COMPUTED_VALUE"""),"Nordre Frihavnsgade 71")</f>
        <v>Nordre Frihavnsgade 71</v>
      </c>
      <c r="J55" s="1">
        <f ca="1">IFERROR(__xludf.DUMMYFUNCTION("""COMPUTED_VALUE"""),2100)</f>
        <v>2100</v>
      </c>
      <c r="K55" s="1" t="str">
        <f ca="1">IFERROR(__xludf.DUMMYFUNCTION("""COMPUTED_VALUE"""),"København Ø")</f>
        <v>København Ø</v>
      </c>
      <c r="L55" s="1"/>
      <c r="M55" s="1"/>
      <c r="N55" s="1"/>
      <c r="O55" s="1" t="str">
        <f ca="1">IFERROR(__xludf.DUMMYFUNCTION("""COMPUTED_VALUE"""),"35 42 55 55")</f>
        <v>35 42 55 55</v>
      </c>
      <c r="P55" s="1" t="str">
        <f ca="1">IFERROR(__xludf.DUMMYFUNCTION("""COMPUTED_VALUE"""),"126@home.dk")</f>
        <v>126@home.dk</v>
      </c>
      <c r="Q55" s="26" t="str">
        <f ca="1">IFERROR(__xludf.DUMMYFUNCTION("""COMPUTED_VALUE"""),"https://www.boliga.dk/maegler/173")</f>
        <v>https://www.boliga.dk/maegler/173</v>
      </c>
      <c r="R55" s="1"/>
      <c r="S55" s="27"/>
      <c r="T55" s="1"/>
      <c r="U55" s="1"/>
      <c r="V55" s="1"/>
      <c r="W55" s="1"/>
      <c r="X55" s="1"/>
      <c r="Y55" s="1" t="str">
        <f ca="1">IFERROR(__xludf.DUMMYFUNCTION("""COMPUTED_VALUE"""),"ja")</f>
        <v>ja</v>
      </c>
      <c r="Z55" s="1"/>
      <c r="AA55" s="20"/>
      <c r="AB55" s="1"/>
      <c r="AC55" s="1"/>
      <c r="AD55" s="1"/>
      <c r="AE55" s="1"/>
    </row>
    <row r="56" spans="1:31" ht="12.5">
      <c r="A56" s="1" t="str">
        <f ca="1">IFERROR(__xludf.DUMMYFUNCTION("""COMPUTED_VALUE"""),"Martin")</f>
        <v>Martin</v>
      </c>
      <c r="B56" s="1" t="str">
        <f ca="1">IFERROR(__xludf.DUMMYFUNCTION("""COMPUTED_VALUE"""),"Home Østerbro-svanemøllen")</f>
        <v>Home Østerbro-svanemøllen</v>
      </c>
      <c r="C56" s="21">
        <f ca="1">IFERROR(__xludf.DUMMYFUNCTION("""COMPUTED_VALUE"""),40098186)</f>
        <v>40098186</v>
      </c>
      <c r="D56" s="21" t="str">
        <f ca="1">IFERROR(__xludf.DUMMYFUNCTION("""COMPUTED_VALUE"""),"MG-PM-SJ: 2.600,-")</f>
        <v>MG-PM-SJ: 2.600,-</v>
      </c>
      <c r="E56" s="21">
        <f ca="1">IFERROR(__xludf.DUMMYFUNCTION("""COMPUTED_VALUE"""),1204)</f>
        <v>1204</v>
      </c>
      <c r="F56" s="21"/>
      <c r="G56" s="1" t="str">
        <f ca="1">IFERROR(__xludf.DUMMYFUNCTION("""COMPUTED_VALUE"""),"mberg@home.dk")</f>
        <v>mberg@home.dk</v>
      </c>
      <c r="H56" s="1"/>
      <c r="I56" s="1" t="str">
        <f ca="1">IFERROR(__xludf.DUMMYFUNCTION("""COMPUTED_VALUE"""),"Nordre Frihavnsgade 71")</f>
        <v>Nordre Frihavnsgade 71</v>
      </c>
      <c r="J56" s="1">
        <f ca="1">IFERROR(__xludf.DUMMYFUNCTION("""COMPUTED_VALUE"""),2100)</f>
        <v>2100</v>
      </c>
      <c r="K56" s="1" t="str">
        <f ca="1">IFERROR(__xludf.DUMMYFUNCTION("""COMPUTED_VALUE"""),"København Ø")</f>
        <v>København Ø</v>
      </c>
      <c r="L56" s="1"/>
      <c r="M56" s="1"/>
      <c r="N56" s="1"/>
      <c r="O56" s="1"/>
      <c r="P56" s="1"/>
      <c r="Q56" s="1"/>
      <c r="R56" s="1"/>
      <c r="S56" s="27"/>
      <c r="T56" s="1"/>
      <c r="U56" s="1"/>
      <c r="V56" s="1"/>
      <c r="W56" s="1"/>
      <c r="X56" s="1"/>
      <c r="Y56" s="1" t="str">
        <f ca="1">IFERROR(__xludf.DUMMYFUNCTION("""COMPUTED_VALUE"""),"ja")</f>
        <v>ja</v>
      </c>
      <c r="Z56" s="1"/>
      <c r="AA56" s="20"/>
      <c r="AB56" s="1"/>
      <c r="AC56" s="1"/>
      <c r="AD56" s="1"/>
      <c r="AE56" s="1"/>
    </row>
    <row r="57" spans="1:31" ht="12.5">
      <c r="A57" s="1" t="str">
        <f ca="1">IFERROR(__xludf.DUMMYFUNCTION("""COMPUTED_VALUE"""),"Martin")</f>
        <v>Martin</v>
      </c>
      <c r="B57" s="1" t="str">
        <f ca="1">IFERROR(__xludf.DUMMYFUNCTION("""COMPUTED_VALUE"""),"NjordBolig")</f>
        <v>NjordBolig</v>
      </c>
      <c r="C57" s="21">
        <f ca="1">IFERROR(__xludf.DUMMYFUNCTION("""COMPUTED_VALUE"""),36963816)</f>
        <v>36963816</v>
      </c>
      <c r="D57" s="21" t="str">
        <f ca="1">IFERROR(__xludf.DUMMYFUNCTION("""COMPUTED_VALUE"""),"MG-PM-SJ: 2.600,-")</f>
        <v>MG-PM-SJ: 2.600,-</v>
      </c>
      <c r="E57" s="21">
        <f ca="1">IFERROR(__xludf.DUMMYFUNCTION("""COMPUTED_VALUE"""),1204)</f>
        <v>1204</v>
      </c>
      <c r="F57" s="21"/>
      <c r="G57" s="1" t="str">
        <f ca="1">IFERROR(__xludf.DUMMYFUNCTION("""COMPUTED_VALUE"""),"rasmus.frank@njordbolig.dk")</f>
        <v>rasmus.frank@njordbolig.dk</v>
      </c>
      <c r="H57" s="1"/>
      <c r="I57" s="1" t="str">
        <f ca="1">IFERROR(__xludf.DUMMYFUNCTION("""COMPUTED_VALUE"""),"Mønten 2")</f>
        <v>Mønten 2</v>
      </c>
      <c r="J57" s="1">
        <f ca="1">IFERROR(__xludf.DUMMYFUNCTION("""COMPUTED_VALUE"""),3600)</f>
        <v>3600</v>
      </c>
      <c r="K57" s="1" t="str">
        <f ca="1">IFERROR(__xludf.DUMMYFUNCTION("""COMPUTED_VALUE"""),"Frederikssund")</f>
        <v>Frederikssund</v>
      </c>
      <c r="L57" s="1"/>
      <c r="M57" s="1"/>
      <c r="N57" s="1"/>
      <c r="O57" s="1" t="str">
        <f ca="1">IFERROR(__xludf.DUMMYFUNCTION("""COMPUTED_VALUE"""),"4738 7708")</f>
        <v>4738 7708</v>
      </c>
      <c r="P57" s="1" t="str">
        <f ca="1">IFERROR(__xludf.DUMMYFUNCTION("""COMPUTED_VALUE"""),"frederikssund@danbolig.dk")</f>
        <v>frederikssund@danbolig.dk</v>
      </c>
      <c r="Q57" s="26" t="str">
        <f ca="1">IFERROR(__xludf.DUMMYFUNCTION("""COMPUTED_VALUE"""),"https://www.boliga.dk/maegler/976")</f>
        <v>https://www.boliga.dk/maegler/976</v>
      </c>
      <c r="R57" s="1"/>
      <c r="S57" s="27"/>
      <c r="T57" s="1"/>
      <c r="U57" s="1"/>
      <c r="V57" s="1"/>
      <c r="W57" s="1"/>
      <c r="X57" s="1"/>
      <c r="Y57" s="1" t="str">
        <f ca="1">IFERROR(__xludf.DUMMYFUNCTION("""COMPUTED_VALUE"""),"ja")</f>
        <v>ja</v>
      </c>
      <c r="Z57" s="1"/>
      <c r="AA57" s="20"/>
      <c r="AB57" s="1"/>
      <c r="AC57" s="1"/>
      <c r="AD57" s="1"/>
      <c r="AE57" s="1"/>
    </row>
    <row r="58" spans="1:31" ht="12.5">
      <c r="C58" s="21"/>
      <c r="D58" s="21"/>
      <c r="E58" s="21"/>
      <c r="F58" s="21"/>
    </row>
    <row r="59" spans="1:31" ht="12.5">
      <c r="C59" s="21"/>
      <c r="D59" s="21"/>
      <c r="E59" s="21"/>
      <c r="F59" s="21"/>
    </row>
    <row r="60" spans="1:31" ht="12.5">
      <c r="C60" s="21"/>
      <c r="D60" s="21"/>
      <c r="E60" s="21"/>
      <c r="F60" s="21"/>
    </row>
    <row r="61" spans="1:31" ht="12.5">
      <c r="C61" s="21"/>
      <c r="D61" s="21"/>
      <c r="E61" s="21"/>
      <c r="F61" s="21"/>
    </row>
    <row r="62" spans="1:31" ht="12.5">
      <c r="C62" s="21"/>
      <c r="D62" s="21"/>
      <c r="E62" s="21"/>
      <c r="F62" s="21"/>
    </row>
    <row r="63" spans="1:31" ht="12.5">
      <c r="C63" s="21"/>
      <c r="D63" s="21"/>
      <c r="E63" s="21"/>
      <c r="F63" s="21"/>
    </row>
    <row r="64" spans="1:31" ht="12.5">
      <c r="C64" s="21"/>
      <c r="D64" s="21"/>
      <c r="E64" s="21"/>
      <c r="F64" s="21"/>
    </row>
    <row r="65" spans="3:6" ht="12.5">
      <c r="C65" s="21"/>
      <c r="D65" s="21"/>
      <c r="E65" s="21"/>
      <c r="F65" s="21"/>
    </row>
    <row r="66" spans="3:6" ht="12.5">
      <c r="C66" s="21"/>
      <c r="D66" s="21"/>
      <c r="E66" s="21"/>
      <c r="F66" s="21"/>
    </row>
    <row r="67" spans="3:6" ht="12.5">
      <c r="C67" s="21"/>
      <c r="D67" s="21"/>
      <c r="E67" s="21"/>
      <c r="F67" s="21"/>
    </row>
    <row r="68" spans="3:6" ht="12.5">
      <c r="C68" s="21"/>
      <c r="D68" s="21"/>
      <c r="E68" s="21"/>
      <c r="F68" s="21"/>
    </row>
    <row r="69" spans="3:6" ht="12.5">
      <c r="C69" s="21"/>
      <c r="D69" s="21"/>
      <c r="E69" s="21"/>
      <c r="F69" s="21"/>
    </row>
    <row r="70" spans="3:6" ht="12.5">
      <c r="C70" s="21"/>
      <c r="D70" s="21"/>
      <c r="E70" s="21"/>
      <c r="F70" s="21"/>
    </row>
    <row r="71" spans="3:6" ht="12.5">
      <c r="C71" s="21"/>
      <c r="D71" s="21"/>
      <c r="E71" s="21"/>
      <c r="F71" s="21"/>
    </row>
    <row r="72" spans="3:6" ht="12.5">
      <c r="C72" s="21"/>
      <c r="D72" s="21"/>
      <c r="E72" s="21"/>
      <c r="F72" s="21"/>
    </row>
    <row r="73" spans="3:6" ht="12.5">
      <c r="C73" s="21"/>
      <c r="D73" s="21"/>
      <c r="E73" s="21"/>
      <c r="F73" s="21"/>
    </row>
    <row r="74" spans="3:6" ht="12.5">
      <c r="C74" s="21"/>
      <c r="D74" s="21"/>
      <c r="E74" s="21"/>
      <c r="F74" s="21"/>
    </row>
    <row r="75" spans="3:6" ht="12.5">
      <c r="C75" s="21"/>
      <c r="D75" s="21"/>
      <c r="E75" s="21"/>
      <c r="F75" s="21"/>
    </row>
    <row r="76" spans="3:6" ht="12.5">
      <c r="C76" s="21"/>
      <c r="D76" s="21"/>
      <c r="E76" s="21"/>
      <c r="F76" s="21"/>
    </row>
    <row r="77" spans="3:6" ht="12.5">
      <c r="C77" s="21"/>
      <c r="D77" s="21"/>
      <c r="E77" s="21"/>
      <c r="F77" s="21"/>
    </row>
    <row r="78" spans="3:6" ht="12.5">
      <c r="C78" s="21"/>
      <c r="D78" s="21"/>
      <c r="E78" s="21"/>
      <c r="F78" s="21"/>
    </row>
    <row r="79" spans="3:6" ht="12.5">
      <c r="C79" s="21"/>
      <c r="D79" s="21"/>
      <c r="E79" s="21"/>
      <c r="F79" s="21"/>
    </row>
    <row r="80" spans="3:6" ht="12.5">
      <c r="C80" s="21"/>
      <c r="D80" s="21"/>
      <c r="E80" s="21"/>
      <c r="F80" s="21"/>
    </row>
    <row r="81" spans="3:6" ht="12.5">
      <c r="C81" s="21"/>
      <c r="D81" s="21"/>
      <c r="E81" s="21"/>
      <c r="F81" s="21"/>
    </row>
    <row r="82" spans="3:6" ht="12.5">
      <c r="C82" s="21"/>
      <c r="D82" s="21"/>
      <c r="E82" s="21"/>
      <c r="F82" s="21"/>
    </row>
    <row r="83" spans="3:6" ht="12.5">
      <c r="C83" s="21"/>
      <c r="D83" s="21"/>
      <c r="E83" s="21"/>
      <c r="F83" s="21"/>
    </row>
    <row r="84" spans="3:6" ht="12.5">
      <c r="C84" s="21"/>
      <c r="D84" s="21"/>
      <c r="E84" s="21"/>
      <c r="F84" s="21"/>
    </row>
    <row r="85" spans="3:6" ht="12.5">
      <c r="C85" s="21"/>
      <c r="D85" s="21"/>
      <c r="E85" s="21"/>
      <c r="F85" s="21"/>
    </row>
    <row r="86" spans="3:6" ht="12.5">
      <c r="C86" s="21"/>
      <c r="D86" s="21"/>
      <c r="E86" s="21"/>
      <c r="F86" s="21"/>
    </row>
    <row r="87" spans="3:6" ht="12.5">
      <c r="C87" s="21"/>
      <c r="D87" s="21"/>
      <c r="E87" s="21"/>
      <c r="F87" s="21"/>
    </row>
    <row r="88" spans="3:6" ht="12.5">
      <c r="C88" s="21"/>
      <c r="D88" s="21"/>
      <c r="E88" s="21"/>
      <c r="F88" s="21"/>
    </row>
    <row r="89" spans="3:6" ht="12.5">
      <c r="C89" s="21"/>
      <c r="D89" s="21"/>
      <c r="E89" s="21"/>
      <c r="F89" s="21"/>
    </row>
    <row r="90" spans="3:6" ht="12.5">
      <c r="C90" s="21"/>
      <c r="D90" s="21"/>
      <c r="E90" s="21"/>
      <c r="F90" s="21"/>
    </row>
    <row r="91" spans="3:6" ht="12.5">
      <c r="C91" s="21"/>
      <c r="D91" s="21"/>
      <c r="E91" s="21"/>
      <c r="F91" s="21"/>
    </row>
    <row r="92" spans="3:6" ht="12.5">
      <c r="C92" s="21"/>
      <c r="D92" s="21"/>
      <c r="E92" s="21"/>
      <c r="F92" s="21"/>
    </row>
    <row r="93" spans="3:6" ht="12.5">
      <c r="C93" s="21"/>
      <c r="D93" s="21"/>
      <c r="E93" s="21"/>
      <c r="F93" s="21"/>
    </row>
    <row r="94" spans="3:6" ht="12.5">
      <c r="C94" s="21"/>
      <c r="D94" s="21"/>
      <c r="E94" s="21"/>
      <c r="F94" s="21"/>
    </row>
    <row r="95" spans="3:6" ht="12.5">
      <c r="C95" s="21"/>
      <c r="D95" s="21"/>
      <c r="E95" s="21"/>
      <c r="F95" s="21"/>
    </row>
    <row r="96" spans="3:6" ht="12.5">
      <c r="C96" s="21"/>
      <c r="D96" s="21"/>
      <c r="E96" s="21"/>
      <c r="F96" s="21"/>
    </row>
    <row r="97" spans="3:6" ht="12.5">
      <c r="C97" s="21"/>
      <c r="D97" s="21"/>
      <c r="E97" s="21"/>
      <c r="F97" s="21"/>
    </row>
    <row r="98" spans="3:6" ht="12.5">
      <c r="C98" s="21"/>
      <c r="D98" s="21"/>
      <c r="E98" s="21"/>
      <c r="F98" s="21"/>
    </row>
    <row r="99" spans="3:6" ht="12.5">
      <c r="C99" s="21"/>
      <c r="D99" s="21"/>
      <c r="E99" s="21"/>
      <c r="F99" s="21"/>
    </row>
    <row r="100" spans="3:6" ht="12.5">
      <c r="C100" s="21"/>
      <c r="D100" s="21"/>
      <c r="E100" s="21"/>
      <c r="F100" s="21"/>
    </row>
    <row r="101" spans="3:6" ht="12.5">
      <c r="C101" s="21"/>
      <c r="D101" s="21"/>
      <c r="E101" s="21"/>
      <c r="F101" s="21"/>
    </row>
    <row r="102" spans="3:6" ht="12.5">
      <c r="C102" s="21"/>
      <c r="D102" s="21"/>
      <c r="E102" s="21"/>
      <c r="F102" s="21"/>
    </row>
    <row r="103" spans="3:6" ht="12.5">
      <c r="C103" s="21"/>
      <c r="D103" s="21"/>
      <c r="E103" s="21"/>
      <c r="F103" s="21"/>
    </row>
    <row r="104" spans="3:6" ht="12.5">
      <c r="C104" s="21"/>
      <c r="D104" s="21"/>
      <c r="E104" s="21"/>
      <c r="F104" s="21"/>
    </row>
    <row r="105" spans="3:6" ht="12.5">
      <c r="C105" s="21"/>
      <c r="D105" s="21"/>
      <c r="E105" s="21"/>
      <c r="F105" s="21"/>
    </row>
    <row r="106" spans="3:6" ht="12.5">
      <c r="C106" s="21"/>
      <c r="D106" s="21"/>
      <c r="E106" s="21"/>
      <c r="F106" s="21"/>
    </row>
    <row r="107" spans="3:6" ht="12.5">
      <c r="C107" s="21"/>
      <c r="D107" s="21"/>
      <c r="E107" s="21"/>
      <c r="F107" s="21"/>
    </row>
    <row r="108" spans="3:6" ht="12.5">
      <c r="C108" s="21"/>
      <c r="D108" s="21"/>
      <c r="E108" s="21"/>
      <c r="F108" s="21"/>
    </row>
    <row r="109" spans="3:6" ht="12.5">
      <c r="C109" s="21"/>
      <c r="D109" s="21"/>
      <c r="E109" s="21"/>
      <c r="F109" s="21"/>
    </row>
    <row r="110" spans="3:6" ht="12.5">
      <c r="C110" s="21"/>
      <c r="D110" s="21"/>
      <c r="E110" s="21"/>
      <c r="F110" s="21"/>
    </row>
    <row r="111" spans="3:6" ht="12.5">
      <c r="C111" s="21"/>
      <c r="D111" s="21"/>
      <c r="E111" s="21"/>
      <c r="F111" s="21"/>
    </row>
    <row r="112" spans="3:6" ht="12.5">
      <c r="C112" s="21"/>
      <c r="D112" s="21"/>
      <c r="E112" s="21"/>
      <c r="F112" s="21"/>
    </row>
    <row r="113" spans="3:6" ht="12.5">
      <c r="C113" s="21"/>
      <c r="D113" s="21"/>
      <c r="E113" s="21"/>
      <c r="F113" s="21"/>
    </row>
    <row r="114" spans="3:6" ht="12.5">
      <c r="C114" s="21"/>
      <c r="D114" s="21"/>
      <c r="E114" s="21"/>
      <c r="F114" s="21"/>
    </row>
    <row r="115" spans="3:6" ht="12.5">
      <c r="C115" s="21"/>
      <c r="D115" s="21"/>
      <c r="E115" s="21"/>
      <c r="F115" s="21"/>
    </row>
    <row r="116" spans="3:6" ht="12.5">
      <c r="C116" s="21"/>
      <c r="D116" s="21"/>
      <c r="E116" s="21"/>
      <c r="F116" s="21"/>
    </row>
    <row r="117" spans="3:6" ht="12.5">
      <c r="C117" s="21"/>
      <c r="D117" s="21"/>
      <c r="E117" s="21"/>
      <c r="F117" s="21"/>
    </row>
    <row r="118" spans="3:6" ht="12.5">
      <c r="C118" s="21"/>
      <c r="D118" s="21"/>
      <c r="E118" s="21"/>
      <c r="F118" s="21"/>
    </row>
    <row r="119" spans="3:6" ht="12.5">
      <c r="C119" s="21"/>
      <c r="D119" s="21"/>
      <c r="E119" s="21"/>
      <c r="F119" s="21"/>
    </row>
    <row r="120" spans="3:6" ht="12.5">
      <c r="C120" s="21"/>
      <c r="D120" s="21"/>
      <c r="E120" s="21"/>
      <c r="F120" s="21"/>
    </row>
    <row r="121" spans="3:6" ht="12.5">
      <c r="C121" s="21"/>
      <c r="D121" s="21"/>
      <c r="E121" s="21"/>
      <c r="F121" s="21"/>
    </row>
    <row r="122" spans="3:6" ht="12.5">
      <c r="C122" s="21"/>
      <c r="D122" s="21"/>
      <c r="E122" s="21"/>
      <c r="F122" s="21"/>
    </row>
    <row r="123" spans="3:6" ht="12.5">
      <c r="C123" s="21"/>
      <c r="D123" s="21"/>
      <c r="E123" s="21"/>
      <c r="F123" s="21"/>
    </row>
    <row r="124" spans="3:6" ht="12.5">
      <c r="C124" s="21"/>
      <c r="D124" s="21"/>
      <c r="E124" s="21"/>
      <c r="F124" s="21"/>
    </row>
    <row r="125" spans="3:6" ht="12.5">
      <c r="C125" s="21"/>
      <c r="D125" s="21"/>
      <c r="E125" s="21"/>
      <c r="F125" s="21"/>
    </row>
    <row r="126" spans="3:6" ht="12.5">
      <c r="C126" s="21"/>
      <c r="D126" s="21"/>
      <c r="E126" s="21"/>
      <c r="F126" s="21"/>
    </row>
    <row r="127" spans="3:6" ht="12.5">
      <c r="C127" s="21"/>
      <c r="D127" s="21"/>
      <c r="E127" s="21"/>
      <c r="F127" s="21"/>
    </row>
    <row r="128" spans="3:6" ht="12.5">
      <c r="C128" s="21"/>
      <c r="D128" s="21"/>
      <c r="E128" s="21"/>
      <c r="F128" s="21"/>
    </row>
    <row r="129" spans="3:6" ht="12.5">
      <c r="C129" s="21"/>
      <c r="D129" s="21"/>
      <c r="E129" s="21"/>
      <c r="F129" s="21"/>
    </row>
    <row r="130" spans="3:6" ht="12.5">
      <c r="C130" s="21"/>
      <c r="D130" s="21"/>
      <c r="E130" s="21"/>
      <c r="F130" s="21"/>
    </row>
    <row r="131" spans="3:6" ht="12.5">
      <c r="C131" s="21"/>
      <c r="D131" s="21"/>
      <c r="E131" s="21"/>
      <c r="F131" s="21"/>
    </row>
    <row r="132" spans="3:6" ht="12.5">
      <c r="C132" s="21"/>
      <c r="D132" s="21"/>
      <c r="E132" s="21"/>
      <c r="F132" s="21"/>
    </row>
    <row r="133" spans="3:6" ht="12.5">
      <c r="C133" s="21"/>
      <c r="D133" s="21"/>
      <c r="E133" s="21"/>
      <c r="F133" s="21"/>
    </row>
    <row r="134" spans="3:6" ht="12.5">
      <c r="C134" s="21"/>
      <c r="D134" s="21"/>
      <c r="E134" s="21"/>
      <c r="F134" s="21"/>
    </row>
    <row r="135" spans="3:6" ht="12.5">
      <c r="C135" s="21"/>
      <c r="D135" s="21"/>
      <c r="E135" s="21"/>
      <c r="F135" s="21"/>
    </row>
    <row r="136" spans="3:6" ht="12.5">
      <c r="C136" s="21"/>
      <c r="D136" s="21"/>
      <c r="E136" s="21"/>
      <c r="F136" s="21"/>
    </row>
    <row r="137" spans="3:6" ht="12.5">
      <c r="C137" s="21"/>
      <c r="D137" s="21"/>
      <c r="E137" s="21"/>
      <c r="F137" s="21"/>
    </row>
    <row r="138" spans="3:6" ht="12.5">
      <c r="C138" s="21"/>
      <c r="D138" s="21"/>
      <c r="E138" s="21"/>
      <c r="F138" s="21"/>
    </row>
    <row r="139" spans="3:6" ht="12.5">
      <c r="C139" s="21"/>
      <c r="D139" s="21"/>
      <c r="E139" s="21"/>
      <c r="F139" s="21"/>
    </row>
    <row r="140" spans="3:6" ht="12.5">
      <c r="C140" s="21"/>
      <c r="D140" s="21"/>
      <c r="E140" s="21"/>
      <c r="F140" s="21"/>
    </row>
    <row r="141" spans="3:6" ht="12.5">
      <c r="C141" s="21"/>
      <c r="D141" s="21"/>
      <c r="E141" s="21"/>
      <c r="F141" s="21"/>
    </row>
    <row r="142" spans="3:6" ht="12.5">
      <c r="C142" s="21"/>
      <c r="D142" s="21"/>
      <c r="E142" s="21"/>
      <c r="F142" s="21"/>
    </row>
    <row r="143" spans="3:6" ht="12.5">
      <c r="C143" s="21"/>
      <c r="D143" s="21"/>
      <c r="E143" s="21"/>
      <c r="F143" s="21"/>
    </row>
    <row r="144" spans="3:6" ht="12.5">
      <c r="C144" s="21"/>
      <c r="D144" s="21"/>
      <c r="E144" s="21"/>
      <c r="F144" s="21"/>
    </row>
    <row r="145" spans="3:6" ht="12.5">
      <c r="C145" s="21"/>
      <c r="D145" s="21"/>
      <c r="E145" s="21"/>
      <c r="F145" s="21"/>
    </row>
    <row r="146" spans="3:6" ht="12.5">
      <c r="C146" s="21"/>
      <c r="D146" s="21"/>
      <c r="E146" s="21"/>
      <c r="F146" s="21"/>
    </row>
    <row r="147" spans="3:6" ht="12.5">
      <c r="C147" s="21"/>
      <c r="D147" s="21"/>
      <c r="E147" s="21"/>
      <c r="F147" s="21"/>
    </row>
    <row r="148" spans="3:6" ht="12.5">
      <c r="C148" s="21"/>
      <c r="D148" s="21"/>
      <c r="E148" s="21"/>
      <c r="F148" s="21"/>
    </row>
    <row r="149" spans="3:6" ht="12.5">
      <c r="C149" s="21"/>
      <c r="D149" s="21"/>
      <c r="E149" s="21"/>
      <c r="F149" s="21"/>
    </row>
    <row r="150" spans="3:6" ht="12.5">
      <c r="C150" s="21"/>
      <c r="D150" s="21"/>
      <c r="E150" s="21"/>
      <c r="F150" s="21"/>
    </row>
    <row r="151" spans="3:6" ht="12.5">
      <c r="C151" s="21"/>
      <c r="D151" s="21"/>
      <c r="E151" s="21"/>
      <c r="F151" s="21"/>
    </row>
    <row r="152" spans="3:6" ht="12.5">
      <c r="C152" s="21"/>
      <c r="D152" s="21"/>
      <c r="E152" s="21"/>
      <c r="F152" s="21"/>
    </row>
    <row r="153" spans="3:6" ht="12.5">
      <c r="C153" s="21"/>
      <c r="D153" s="21"/>
      <c r="E153" s="21"/>
      <c r="F153" s="21"/>
    </row>
    <row r="154" spans="3:6" ht="12.5">
      <c r="C154" s="21"/>
      <c r="D154" s="21"/>
      <c r="E154" s="21"/>
      <c r="F154" s="21"/>
    </row>
    <row r="155" spans="3:6" ht="12.5">
      <c r="C155" s="21"/>
      <c r="D155" s="21"/>
      <c r="E155" s="21"/>
      <c r="F155" s="21"/>
    </row>
    <row r="156" spans="3:6" ht="12.5">
      <c r="C156" s="21"/>
      <c r="D156" s="21"/>
      <c r="E156" s="21"/>
      <c r="F156" s="21"/>
    </row>
    <row r="157" spans="3:6" ht="12.5">
      <c r="C157" s="21"/>
      <c r="D157" s="21"/>
      <c r="E157" s="21"/>
      <c r="F157" s="21"/>
    </row>
    <row r="158" spans="3:6" ht="12.5">
      <c r="C158" s="21"/>
      <c r="D158" s="21"/>
      <c r="E158" s="21"/>
      <c r="F158" s="21"/>
    </row>
    <row r="159" spans="3:6" ht="12.5">
      <c r="C159" s="21"/>
      <c r="D159" s="21"/>
      <c r="E159" s="21"/>
      <c r="F159" s="21"/>
    </row>
    <row r="160" spans="3:6" ht="12.5">
      <c r="C160" s="21"/>
      <c r="D160" s="21"/>
      <c r="E160" s="21"/>
      <c r="F160" s="21"/>
    </row>
    <row r="161" spans="3:6" ht="12.5">
      <c r="C161" s="21"/>
      <c r="D161" s="21"/>
      <c r="E161" s="21"/>
      <c r="F161" s="21"/>
    </row>
    <row r="162" spans="3:6" ht="12.5">
      <c r="C162" s="21"/>
      <c r="D162" s="21"/>
      <c r="E162" s="21"/>
      <c r="F162" s="21"/>
    </row>
    <row r="163" spans="3:6" ht="12.5">
      <c r="C163" s="21"/>
      <c r="D163" s="21"/>
      <c r="E163" s="21"/>
      <c r="F163" s="21"/>
    </row>
    <row r="164" spans="3:6" ht="12.5">
      <c r="C164" s="21"/>
      <c r="D164" s="21"/>
      <c r="E164" s="21"/>
      <c r="F164" s="21"/>
    </row>
    <row r="165" spans="3:6" ht="12.5">
      <c r="C165" s="21"/>
      <c r="D165" s="21"/>
      <c r="E165" s="21"/>
      <c r="F165" s="21"/>
    </row>
    <row r="166" spans="3:6" ht="12.5">
      <c r="C166" s="21"/>
      <c r="D166" s="21"/>
      <c r="E166" s="21"/>
      <c r="F166" s="21"/>
    </row>
    <row r="167" spans="3:6" ht="12.5">
      <c r="C167" s="21"/>
      <c r="D167" s="21"/>
      <c r="E167" s="21"/>
      <c r="F167" s="21"/>
    </row>
    <row r="168" spans="3:6" ht="12.5">
      <c r="C168" s="21"/>
      <c r="D168" s="21"/>
      <c r="E168" s="21"/>
      <c r="F168" s="21"/>
    </row>
    <row r="169" spans="3:6" ht="12.5">
      <c r="C169" s="21"/>
      <c r="D169" s="21"/>
      <c r="E169" s="21"/>
      <c r="F169" s="21"/>
    </row>
    <row r="170" spans="3:6" ht="12.5">
      <c r="C170" s="21"/>
      <c r="D170" s="21"/>
      <c r="E170" s="21"/>
      <c r="F170" s="21"/>
    </row>
    <row r="171" spans="3:6" ht="12.5">
      <c r="C171" s="21"/>
      <c r="D171" s="21"/>
      <c r="E171" s="21"/>
      <c r="F171" s="21"/>
    </row>
    <row r="172" spans="3:6" ht="12.5">
      <c r="C172" s="21"/>
      <c r="D172" s="21"/>
      <c r="E172" s="21"/>
      <c r="F172" s="21"/>
    </row>
    <row r="173" spans="3:6" ht="12.5">
      <c r="C173" s="21"/>
      <c r="D173" s="21"/>
      <c r="E173" s="21"/>
      <c r="F173" s="21"/>
    </row>
    <row r="174" spans="3:6" ht="12.5">
      <c r="C174" s="21"/>
      <c r="D174" s="21"/>
      <c r="E174" s="21"/>
      <c r="F174" s="21"/>
    </row>
    <row r="175" spans="3:6" ht="12.5">
      <c r="C175" s="21"/>
      <c r="D175" s="21"/>
      <c r="E175" s="21"/>
      <c r="F175" s="21"/>
    </row>
    <row r="176" spans="3:6" ht="12.5">
      <c r="C176" s="21"/>
      <c r="D176" s="21"/>
      <c r="E176" s="21"/>
      <c r="F176" s="21"/>
    </row>
    <row r="177" spans="3:6" ht="12.5">
      <c r="C177" s="21"/>
      <c r="D177" s="21"/>
      <c r="E177" s="21"/>
      <c r="F177" s="21"/>
    </row>
    <row r="178" spans="3:6" ht="12.5">
      <c r="C178" s="21"/>
      <c r="D178" s="21"/>
      <c r="E178" s="21"/>
      <c r="F178" s="21"/>
    </row>
    <row r="179" spans="3:6" ht="12.5">
      <c r="C179" s="21"/>
      <c r="D179" s="21"/>
      <c r="E179" s="21"/>
      <c r="F179" s="21"/>
    </row>
    <row r="180" spans="3:6" ht="12.5">
      <c r="C180" s="21"/>
      <c r="D180" s="21"/>
      <c r="E180" s="21"/>
      <c r="F180" s="21"/>
    </row>
    <row r="181" spans="3:6" ht="12.5">
      <c r="C181" s="21"/>
      <c r="D181" s="21"/>
      <c r="E181" s="21"/>
      <c r="F181" s="21"/>
    </row>
    <row r="182" spans="3:6" ht="12.5">
      <c r="C182" s="21"/>
      <c r="D182" s="21"/>
      <c r="E182" s="21"/>
      <c r="F182" s="21"/>
    </row>
    <row r="183" spans="3:6" ht="12.5">
      <c r="C183" s="21"/>
      <c r="D183" s="21"/>
      <c r="E183" s="21"/>
      <c r="F183" s="21"/>
    </row>
    <row r="184" spans="3:6" ht="12.5">
      <c r="C184" s="21"/>
      <c r="D184" s="21"/>
      <c r="E184" s="21"/>
      <c r="F184" s="21"/>
    </row>
    <row r="185" spans="3:6" ht="12.5">
      <c r="C185" s="21"/>
      <c r="D185" s="21"/>
      <c r="E185" s="21"/>
      <c r="F185" s="21"/>
    </row>
    <row r="186" spans="3:6" ht="12.5">
      <c r="C186" s="21"/>
      <c r="D186" s="21"/>
      <c r="E186" s="21"/>
      <c r="F186" s="21"/>
    </row>
    <row r="187" spans="3:6" ht="12.5">
      <c r="C187" s="21"/>
      <c r="D187" s="21"/>
      <c r="E187" s="21"/>
      <c r="F187" s="21"/>
    </row>
    <row r="188" spans="3:6" ht="12.5">
      <c r="C188" s="21"/>
      <c r="D188" s="21"/>
      <c r="E188" s="21"/>
      <c r="F188" s="21"/>
    </row>
    <row r="189" spans="3:6" ht="12.5">
      <c r="C189" s="21"/>
      <c r="D189" s="21"/>
      <c r="E189" s="21"/>
      <c r="F189" s="21"/>
    </row>
    <row r="190" spans="3:6" ht="12.5">
      <c r="C190" s="21"/>
      <c r="D190" s="21"/>
      <c r="E190" s="21"/>
      <c r="F190" s="21"/>
    </row>
    <row r="191" spans="3:6" ht="12.5">
      <c r="C191" s="21"/>
      <c r="D191" s="21"/>
      <c r="E191" s="21"/>
      <c r="F191" s="21"/>
    </row>
    <row r="192" spans="3:6" ht="12.5">
      <c r="C192" s="21"/>
      <c r="D192" s="21"/>
      <c r="E192" s="21"/>
      <c r="F192" s="21"/>
    </row>
    <row r="193" spans="3:6" ht="12.5">
      <c r="C193" s="21"/>
      <c r="D193" s="21"/>
      <c r="E193" s="21"/>
      <c r="F193" s="21"/>
    </row>
    <row r="194" spans="3:6" ht="12.5">
      <c r="C194" s="21"/>
      <c r="D194" s="21"/>
      <c r="E194" s="21"/>
      <c r="F194" s="21"/>
    </row>
    <row r="195" spans="3:6" ht="12.5">
      <c r="C195" s="21"/>
      <c r="D195" s="21"/>
      <c r="E195" s="21"/>
      <c r="F195" s="21"/>
    </row>
    <row r="196" spans="3:6" ht="12.5">
      <c r="C196" s="21"/>
      <c r="D196" s="21"/>
      <c r="E196" s="21"/>
      <c r="F196" s="21"/>
    </row>
    <row r="197" spans="3:6" ht="12.5">
      <c r="C197" s="21"/>
      <c r="D197" s="21"/>
      <c r="E197" s="21"/>
      <c r="F197" s="21"/>
    </row>
    <row r="198" spans="3:6" ht="12.5">
      <c r="C198" s="21"/>
      <c r="D198" s="21"/>
      <c r="E198" s="21"/>
      <c r="F198" s="21"/>
    </row>
    <row r="199" spans="3:6" ht="12.5">
      <c r="C199" s="21"/>
      <c r="D199" s="21"/>
      <c r="E199" s="21"/>
      <c r="F199" s="21"/>
    </row>
    <row r="200" spans="3:6" ht="12.5">
      <c r="C200" s="21"/>
      <c r="D200" s="21"/>
      <c r="E200" s="21"/>
      <c r="F200" s="21"/>
    </row>
    <row r="201" spans="3:6" ht="12.5">
      <c r="C201" s="21"/>
      <c r="D201" s="21"/>
      <c r="E201" s="21"/>
      <c r="F201" s="21"/>
    </row>
    <row r="202" spans="3:6" ht="12.5">
      <c r="C202" s="21"/>
      <c r="D202" s="21"/>
      <c r="E202" s="21"/>
      <c r="F202" s="21"/>
    </row>
    <row r="203" spans="3:6" ht="12.5">
      <c r="C203" s="21"/>
      <c r="D203" s="21"/>
      <c r="E203" s="21"/>
      <c r="F203" s="21"/>
    </row>
    <row r="204" spans="3:6" ht="12.5">
      <c r="C204" s="21"/>
      <c r="D204" s="21"/>
      <c r="E204" s="21"/>
      <c r="F204" s="21"/>
    </row>
    <row r="205" spans="3:6" ht="12.5">
      <c r="C205" s="21"/>
      <c r="D205" s="21"/>
      <c r="E205" s="21"/>
      <c r="F205" s="21"/>
    </row>
    <row r="206" spans="3:6" ht="12.5">
      <c r="C206" s="21"/>
      <c r="D206" s="21"/>
      <c r="E206" s="21"/>
      <c r="F206" s="21"/>
    </row>
    <row r="207" spans="3:6" ht="12.5">
      <c r="C207" s="21"/>
      <c r="D207" s="21"/>
      <c r="E207" s="21"/>
      <c r="F207" s="21"/>
    </row>
    <row r="208" spans="3:6" ht="12.5">
      <c r="C208" s="21"/>
      <c r="D208" s="21"/>
      <c r="E208" s="21"/>
      <c r="F208" s="21"/>
    </row>
    <row r="209" spans="3:6" ht="12.5">
      <c r="C209" s="21"/>
      <c r="D209" s="21"/>
      <c r="E209" s="21"/>
      <c r="F209" s="21"/>
    </row>
    <row r="210" spans="3:6" ht="12.5">
      <c r="C210" s="21"/>
      <c r="D210" s="21"/>
      <c r="E210" s="21"/>
      <c r="F210" s="21"/>
    </row>
    <row r="211" spans="3:6" ht="12.5">
      <c r="C211" s="21"/>
      <c r="D211" s="21"/>
      <c r="E211" s="21"/>
      <c r="F211" s="21"/>
    </row>
    <row r="212" spans="3:6" ht="12.5">
      <c r="C212" s="21"/>
      <c r="D212" s="21"/>
      <c r="E212" s="21"/>
      <c r="F212" s="21"/>
    </row>
    <row r="213" spans="3:6" ht="12.5">
      <c r="C213" s="21"/>
      <c r="D213" s="21"/>
      <c r="E213" s="21"/>
      <c r="F213" s="21"/>
    </row>
    <row r="214" spans="3:6" ht="12.5">
      <c r="C214" s="21"/>
      <c r="D214" s="21"/>
      <c r="E214" s="21"/>
      <c r="F214" s="21"/>
    </row>
    <row r="215" spans="3:6" ht="12.5">
      <c r="C215" s="21"/>
      <c r="D215" s="21"/>
      <c r="E215" s="21"/>
      <c r="F215" s="21"/>
    </row>
    <row r="216" spans="3:6" ht="12.5">
      <c r="C216" s="21"/>
      <c r="D216" s="21"/>
      <c r="E216" s="21"/>
      <c r="F216" s="21"/>
    </row>
    <row r="217" spans="3:6" ht="12.5">
      <c r="C217" s="21"/>
      <c r="D217" s="21"/>
      <c r="E217" s="21"/>
      <c r="F217" s="21"/>
    </row>
    <row r="218" spans="3:6" ht="12.5">
      <c r="C218" s="21"/>
      <c r="D218" s="21"/>
      <c r="E218" s="21"/>
      <c r="F218" s="21"/>
    </row>
    <row r="219" spans="3:6" ht="12.5">
      <c r="C219" s="21"/>
      <c r="D219" s="21"/>
      <c r="E219" s="21"/>
      <c r="F219" s="21"/>
    </row>
    <row r="220" spans="3:6" ht="12.5">
      <c r="C220" s="21"/>
      <c r="D220" s="21"/>
      <c r="E220" s="21"/>
      <c r="F220" s="21"/>
    </row>
    <row r="221" spans="3:6" ht="12.5">
      <c r="C221" s="21"/>
      <c r="D221" s="21"/>
      <c r="E221" s="21"/>
      <c r="F221" s="21"/>
    </row>
    <row r="222" spans="3:6" ht="12.5">
      <c r="C222" s="21"/>
      <c r="D222" s="21"/>
      <c r="E222" s="21"/>
      <c r="F222" s="21"/>
    </row>
    <row r="223" spans="3:6" ht="12.5">
      <c r="C223" s="21"/>
      <c r="D223" s="21"/>
      <c r="E223" s="21"/>
      <c r="F223" s="21"/>
    </row>
    <row r="224" spans="3:6" ht="12.5">
      <c r="C224" s="21"/>
      <c r="D224" s="21"/>
      <c r="E224" s="21"/>
      <c r="F224" s="21"/>
    </row>
    <row r="225" spans="3:6" ht="12.5">
      <c r="C225" s="21"/>
      <c r="D225" s="21"/>
      <c r="E225" s="21"/>
      <c r="F225" s="21"/>
    </row>
    <row r="226" spans="3:6" ht="12.5">
      <c r="C226" s="21"/>
      <c r="D226" s="21"/>
      <c r="E226" s="21"/>
      <c r="F226" s="21"/>
    </row>
    <row r="227" spans="3:6" ht="12.5">
      <c r="C227" s="21"/>
      <c r="D227" s="21"/>
      <c r="E227" s="21"/>
      <c r="F227" s="21"/>
    </row>
    <row r="228" spans="3:6" ht="12.5">
      <c r="C228" s="21"/>
      <c r="D228" s="21"/>
      <c r="E228" s="21"/>
      <c r="F228" s="21"/>
    </row>
    <row r="229" spans="3:6" ht="12.5">
      <c r="C229" s="21"/>
      <c r="D229" s="21"/>
      <c r="E229" s="21"/>
      <c r="F229" s="21"/>
    </row>
    <row r="230" spans="3:6" ht="12.5">
      <c r="C230" s="21"/>
      <c r="D230" s="21"/>
      <c r="E230" s="21"/>
      <c r="F230" s="21"/>
    </row>
    <row r="231" spans="3:6" ht="12.5">
      <c r="C231" s="21"/>
      <c r="D231" s="21"/>
      <c r="E231" s="21"/>
      <c r="F231" s="21"/>
    </row>
    <row r="232" spans="3:6" ht="12.5">
      <c r="C232" s="21"/>
      <c r="D232" s="21"/>
      <c r="E232" s="21"/>
      <c r="F232" s="21"/>
    </row>
    <row r="233" spans="3:6" ht="12.5">
      <c r="C233" s="21"/>
      <c r="D233" s="21"/>
      <c r="E233" s="21"/>
      <c r="F233" s="21"/>
    </row>
    <row r="234" spans="3:6" ht="12.5">
      <c r="C234" s="21"/>
      <c r="D234" s="21"/>
      <c r="E234" s="21"/>
      <c r="F234" s="21"/>
    </row>
    <row r="235" spans="3:6" ht="12.5">
      <c r="C235" s="21"/>
      <c r="D235" s="21"/>
      <c r="E235" s="21"/>
      <c r="F235" s="21"/>
    </row>
    <row r="236" spans="3:6" ht="12.5">
      <c r="C236" s="21"/>
      <c r="D236" s="21"/>
      <c r="E236" s="21"/>
      <c r="F236" s="21"/>
    </row>
    <row r="237" spans="3:6" ht="12.5">
      <c r="C237" s="21"/>
      <c r="D237" s="21"/>
      <c r="E237" s="21"/>
      <c r="F237" s="21"/>
    </row>
    <row r="238" spans="3:6" ht="12.5">
      <c r="C238" s="21"/>
      <c r="D238" s="21"/>
      <c r="E238" s="21"/>
      <c r="F238" s="21"/>
    </row>
    <row r="239" spans="3:6" ht="12.5">
      <c r="C239" s="21"/>
      <c r="D239" s="21"/>
      <c r="E239" s="21"/>
      <c r="F239" s="21"/>
    </row>
    <row r="240" spans="3:6" ht="12.5">
      <c r="C240" s="21"/>
      <c r="D240" s="21"/>
      <c r="E240" s="21"/>
      <c r="F240" s="21"/>
    </row>
    <row r="241" spans="3:6" ht="12.5">
      <c r="C241" s="21"/>
      <c r="D241" s="21"/>
      <c r="E241" s="21"/>
      <c r="F241" s="21"/>
    </row>
    <row r="242" spans="3:6" ht="12.5">
      <c r="C242" s="21"/>
      <c r="D242" s="21"/>
      <c r="E242" s="21"/>
      <c r="F242" s="21"/>
    </row>
    <row r="243" spans="3:6" ht="12.5">
      <c r="C243" s="21"/>
      <c r="D243" s="21"/>
      <c r="E243" s="21"/>
      <c r="F243" s="21"/>
    </row>
    <row r="244" spans="3:6" ht="12.5">
      <c r="C244" s="21"/>
      <c r="D244" s="21"/>
      <c r="E244" s="21"/>
      <c r="F244" s="21"/>
    </row>
    <row r="245" spans="3:6" ht="12.5">
      <c r="C245" s="21"/>
      <c r="D245" s="21"/>
      <c r="E245" s="21"/>
      <c r="F245" s="21"/>
    </row>
    <row r="246" spans="3:6" ht="12.5">
      <c r="C246" s="21"/>
      <c r="D246" s="21"/>
      <c r="E246" s="21"/>
      <c r="F246" s="21"/>
    </row>
    <row r="247" spans="3:6" ht="12.5">
      <c r="C247" s="21"/>
      <c r="D247" s="21"/>
      <c r="E247" s="21"/>
      <c r="F247" s="21"/>
    </row>
    <row r="248" spans="3:6" ht="12.5">
      <c r="C248" s="21"/>
      <c r="D248" s="21"/>
      <c r="E248" s="21"/>
      <c r="F248" s="21"/>
    </row>
    <row r="249" spans="3:6" ht="12.5">
      <c r="C249" s="21"/>
      <c r="D249" s="21"/>
      <c r="E249" s="21"/>
      <c r="F249" s="21"/>
    </row>
    <row r="250" spans="3:6" ht="12.5">
      <c r="C250" s="21"/>
      <c r="D250" s="21"/>
      <c r="E250" s="21"/>
      <c r="F250" s="21"/>
    </row>
    <row r="251" spans="3:6" ht="12.5">
      <c r="C251" s="21"/>
      <c r="D251" s="21"/>
      <c r="E251" s="21"/>
      <c r="F251" s="21"/>
    </row>
    <row r="252" spans="3:6" ht="12.5">
      <c r="C252" s="21"/>
      <c r="D252" s="21"/>
      <c r="E252" s="21"/>
      <c r="F252" s="21"/>
    </row>
    <row r="253" spans="3:6" ht="12.5">
      <c r="C253" s="21"/>
      <c r="D253" s="21"/>
      <c r="E253" s="21"/>
      <c r="F253" s="21"/>
    </row>
    <row r="254" spans="3:6" ht="12.5">
      <c r="C254" s="21"/>
      <c r="D254" s="21"/>
      <c r="E254" s="21"/>
      <c r="F254" s="21"/>
    </row>
    <row r="255" spans="3:6" ht="12.5">
      <c r="C255" s="21"/>
      <c r="D255" s="21"/>
      <c r="E255" s="21"/>
      <c r="F255" s="21"/>
    </row>
    <row r="256" spans="3:6" ht="12.5">
      <c r="C256" s="21"/>
      <c r="D256" s="21"/>
      <c r="E256" s="21"/>
      <c r="F256" s="21"/>
    </row>
    <row r="257" spans="3:6" ht="12.5">
      <c r="C257" s="21"/>
      <c r="D257" s="21"/>
      <c r="E257" s="21"/>
      <c r="F257" s="21"/>
    </row>
    <row r="258" spans="3:6" ht="12.5">
      <c r="C258" s="21"/>
      <c r="D258" s="21"/>
      <c r="E258" s="21"/>
      <c r="F258" s="21"/>
    </row>
    <row r="259" spans="3:6" ht="12.5">
      <c r="C259" s="21"/>
      <c r="D259" s="21"/>
      <c r="E259" s="21"/>
      <c r="F259" s="21"/>
    </row>
    <row r="260" spans="3:6" ht="12.5">
      <c r="C260" s="21"/>
      <c r="D260" s="21"/>
      <c r="E260" s="21"/>
      <c r="F260" s="21"/>
    </row>
    <row r="261" spans="3:6" ht="12.5">
      <c r="C261" s="21"/>
      <c r="D261" s="21"/>
      <c r="E261" s="21"/>
      <c r="F261" s="21"/>
    </row>
    <row r="262" spans="3:6" ht="12.5">
      <c r="C262" s="21"/>
      <c r="D262" s="21"/>
      <c r="E262" s="21"/>
      <c r="F262" s="21"/>
    </row>
    <row r="263" spans="3:6" ht="12.5">
      <c r="C263" s="21"/>
      <c r="D263" s="21"/>
      <c r="E263" s="21"/>
      <c r="F263" s="21"/>
    </row>
    <row r="264" spans="3:6" ht="12.5">
      <c r="C264" s="21"/>
      <c r="D264" s="21"/>
      <c r="E264" s="21"/>
      <c r="F264" s="21"/>
    </row>
    <row r="265" spans="3:6" ht="12.5">
      <c r="C265" s="21"/>
      <c r="D265" s="21"/>
      <c r="E265" s="21"/>
      <c r="F265" s="21"/>
    </row>
    <row r="266" spans="3:6" ht="12.5">
      <c r="C266" s="21"/>
      <c r="D266" s="21"/>
      <c r="E266" s="21"/>
      <c r="F266" s="21"/>
    </row>
    <row r="267" spans="3:6" ht="12.5">
      <c r="C267" s="21"/>
      <c r="D267" s="21"/>
      <c r="E267" s="21"/>
      <c r="F267" s="21"/>
    </row>
    <row r="268" spans="3:6" ht="12.5">
      <c r="C268" s="21"/>
      <c r="D268" s="21"/>
      <c r="E268" s="21"/>
      <c r="F268" s="21"/>
    </row>
    <row r="269" spans="3:6" ht="12.5">
      <c r="C269" s="21"/>
      <c r="D269" s="21"/>
      <c r="E269" s="21"/>
      <c r="F269" s="21"/>
    </row>
    <row r="270" spans="3:6" ht="12.5">
      <c r="C270" s="21"/>
      <c r="D270" s="21"/>
      <c r="E270" s="21"/>
      <c r="F270" s="21"/>
    </row>
    <row r="271" spans="3:6" ht="12.5">
      <c r="C271" s="21"/>
      <c r="D271" s="21"/>
      <c r="E271" s="21"/>
      <c r="F271" s="21"/>
    </row>
    <row r="272" spans="3:6" ht="12.5">
      <c r="C272" s="21"/>
      <c r="D272" s="21"/>
      <c r="E272" s="21"/>
      <c r="F272" s="21"/>
    </row>
    <row r="273" spans="3:6" ht="12.5">
      <c r="C273" s="21"/>
      <c r="D273" s="21"/>
      <c r="E273" s="21"/>
      <c r="F273" s="21"/>
    </row>
    <row r="274" spans="3:6" ht="12.5">
      <c r="C274" s="21"/>
      <c r="D274" s="21"/>
      <c r="E274" s="21"/>
      <c r="F274" s="21"/>
    </row>
    <row r="275" spans="3:6" ht="12.5">
      <c r="C275" s="21"/>
      <c r="D275" s="21"/>
      <c r="E275" s="21"/>
      <c r="F275" s="21"/>
    </row>
    <row r="276" spans="3:6" ht="12.5">
      <c r="C276" s="21"/>
      <c r="D276" s="21"/>
      <c r="E276" s="21"/>
      <c r="F276" s="21"/>
    </row>
    <row r="277" spans="3:6" ht="12.5">
      <c r="C277" s="21"/>
      <c r="D277" s="21"/>
      <c r="E277" s="21"/>
      <c r="F277" s="21"/>
    </row>
    <row r="278" spans="3:6" ht="12.5">
      <c r="C278" s="21"/>
      <c r="D278" s="21"/>
      <c r="E278" s="21"/>
      <c r="F278" s="21"/>
    </row>
    <row r="279" spans="3:6" ht="12.5">
      <c r="C279" s="21"/>
      <c r="D279" s="21"/>
      <c r="E279" s="21"/>
      <c r="F279" s="21"/>
    </row>
    <row r="280" spans="3:6" ht="12.5">
      <c r="C280" s="21"/>
      <c r="D280" s="21"/>
      <c r="E280" s="21"/>
      <c r="F280" s="21"/>
    </row>
    <row r="281" spans="3:6" ht="12.5">
      <c r="C281" s="21"/>
      <c r="D281" s="21"/>
      <c r="E281" s="21"/>
      <c r="F281" s="21"/>
    </row>
    <row r="282" spans="3:6" ht="12.5">
      <c r="C282" s="21"/>
      <c r="D282" s="21"/>
      <c r="E282" s="21"/>
      <c r="F282" s="21"/>
    </row>
    <row r="283" spans="3:6" ht="12.5">
      <c r="C283" s="21"/>
      <c r="D283" s="21"/>
      <c r="E283" s="21"/>
      <c r="F283" s="21"/>
    </row>
    <row r="284" spans="3:6" ht="12.5">
      <c r="C284" s="21"/>
      <c r="D284" s="21"/>
      <c r="E284" s="21"/>
      <c r="F284" s="21"/>
    </row>
    <row r="285" spans="3:6" ht="12.5">
      <c r="C285" s="21"/>
      <c r="D285" s="21"/>
      <c r="E285" s="21"/>
      <c r="F285" s="21"/>
    </row>
    <row r="286" spans="3:6" ht="12.5">
      <c r="C286" s="21"/>
      <c r="D286" s="21"/>
      <c r="E286" s="21"/>
      <c r="F286" s="21"/>
    </row>
    <row r="287" spans="3:6" ht="12.5">
      <c r="C287" s="21"/>
      <c r="D287" s="21"/>
      <c r="E287" s="21"/>
      <c r="F287" s="21"/>
    </row>
    <row r="288" spans="3:6" ht="12.5">
      <c r="C288" s="21"/>
      <c r="D288" s="21"/>
      <c r="E288" s="21"/>
      <c r="F288" s="21"/>
    </row>
    <row r="289" spans="3:6" ht="12.5">
      <c r="C289" s="21"/>
      <c r="D289" s="21"/>
      <c r="E289" s="21"/>
      <c r="F289" s="21"/>
    </row>
    <row r="290" spans="3:6" ht="12.5">
      <c r="C290" s="21"/>
      <c r="D290" s="21"/>
      <c r="E290" s="21"/>
      <c r="F290" s="21"/>
    </row>
    <row r="291" spans="3:6" ht="12.5">
      <c r="C291" s="21"/>
      <c r="D291" s="21"/>
      <c r="E291" s="21"/>
      <c r="F291" s="21"/>
    </row>
    <row r="292" spans="3:6" ht="12.5">
      <c r="C292" s="21"/>
      <c r="D292" s="21"/>
      <c r="E292" s="21"/>
      <c r="F292" s="21"/>
    </row>
    <row r="293" spans="3:6" ht="12.5">
      <c r="C293" s="21"/>
      <c r="D293" s="21"/>
      <c r="E293" s="21"/>
      <c r="F293" s="21"/>
    </row>
    <row r="294" spans="3:6" ht="12.5">
      <c r="C294" s="21"/>
      <c r="D294" s="21"/>
      <c r="E294" s="21"/>
      <c r="F294" s="21"/>
    </row>
    <row r="295" spans="3:6" ht="12.5">
      <c r="C295" s="21"/>
      <c r="D295" s="21"/>
      <c r="E295" s="21"/>
      <c r="F295" s="21"/>
    </row>
    <row r="296" spans="3:6" ht="12.5">
      <c r="C296" s="21"/>
      <c r="D296" s="21"/>
      <c r="E296" s="21"/>
      <c r="F296" s="21"/>
    </row>
    <row r="297" spans="3:6" ht="12.5">
      <c r="C297" s="21"/>
      <c r="D297" s="21"/>
      <c r="E297" s="21"/>
      <c r="F297" s="21"/>
    </row>
    <row r="298" spans="3:6" ht="12.5">
      <c r="C298" s="21"/>
      <c r="D298" s="21"/>
      <c r="E298" s="21"/>
      <c r="F298" s="21"/>
    </row>
    <row r="299" spans="3:6" ht="12.5">
      <c r="C299" s="21"/>
      <c r="D299" s="21"/>
      <c r="E299" s="21"/>
      <c r="F299" s="21"/>
    </row>
    <row r="300" spans="3:6" ht="12.5">
      <c r="C300" s="21"/>
      <c r="D300" s="21"/>
      <c r="E300" s="21"/>
      <c r="F300" s="21"/>
    </row>
    <row r="301" spans="3:6" ht="12.5">
      <c r="C301" s="21"/>
      <c r="D301" s="21"/>
      <c r="E301" s="21"/>
      <c r="F301" s="21"/>
    </row>
    <row r="302" spans="3:6" ht="12.5">
      <c r="C302" s="21"/>
      <c r="D302" s="21"/>
      <c r="E302" s="21"/>
      <c r="F302" s="21"/>
    </row>
    <row r="303" spans="3:6" ht="12.5">
      <c r="C303" s="21"/>
      <c r="D303" s="21"/>
      <c r="E303" s="21"/>
      <c r="F303" s="21"/>
    </row>
    <row r="304" spans="3:6" ht="12.5">
      <c r="C304" s="21"/>
      <c r="D304" s="21"/>
      <c r="E304" s="21"/>
      <c r="F304" s="21"/>
    </row>
    <row r="305" spans="3:6" ht="12.5">
      <c r="C305" s="21"/>
      <c r="D305" s="21"/>
      <c r="E305" s="21"/>
      <c r="F305" s="21"/>
    </row>
    <row r="306" spans="3:6" ht="12.5">
      <c r="C306" s="21"/>
      <c r="D306" s="21"/>
      <c r="E306" s="21"/>
      <c r="F306" s="21"/>
    </row>
    <row r="307" spans="3:6" ht="12.5">
      <c r="C307" s="21"/>
      <c r="D307" s="21"/>
      <c r="E307" s="21"/>
      <c r="F307" s="21"/>
    </row>
    <row r="308" spans="3:6" ht="12.5">
      <c r="C308" s="21"/>
      <c r="D308" s="21"/>
      <c r="E308" s="21"/>
      <c r="F308" s="21"/>
    </row>
    <row r="309" spans="3:6" ht="12.5">
      <c r="C309" s="21"/>
      <c r="D309" s="21"/>
      <c r="E309" s="21"/>
      <c r="F309" s="21"/>
    </row>
    <row r="310" spans="3:6" ht="12.5">
      <c r="C310" s="21"/>
      <c r="D310" s="21"/>
      <c r="E310" s="21"/>
      <c r="F310" s="21"/>
    </row>
    <row r="311" spans="3:6" ht="12.5">
      <c r="C311" s="21"/>
      <c r="D311" s="21"/>
      <c r="E311" s="21"/>
      <c r="F311" s="21"/>
    </row>
    <row r="312" spans="3:6" ht="12.5">
      <c r="C312" s="21"/>
      <c r="D312" s="21"/>
      <c r="E312" s="21"/>
      <c r="F312" s="21"/>
    </row>
    <row r="313" spans="3:6" ht="12.5">
      <c r="C313" s="21"/>
      <c r="D313" s="21"/>
      <c r="E313" s="21"/>
      <c r="F313" s="21"/>
    </row>
    <row r="314" spans="3:6" ht="12.5">
      <c r="C314" s="21"/>
      <c r="D314" s="21"/>
      <c r="E314" s="21"/>
      <c r="F314" s="21"/>
    </row>
    <row r="315" spans="3:6" ht="12.5">
      <c r="C315" s="21"/>
      <c r="D315" s="21"/>
      <c r="E315" s="21"/>
      <c r="F315" s="21"/>
    </row>
    <row r="316" spans="3:6" ht="12.5">
      <c r="C316" s="21"/>
      <c r="D316" s="21"/>
      <c r="E316" s="21"/>
      <c r="F316" s="21"/>
    </row>
    <row r="317" spans="3:6" ht="12.5">
      <c r="C317" s="21"/>
      <c r="D317" s="21"/>
      <c r="E317" s="21"/>
      <c r="F317" s="21"/>
    </row>
    <row r="318" spans="3:6" ht="12.5">
      <c r="C318" s="21"/>
      <c r="D318" s="21"/>
      <c r="E318" s="21"/>
      <c r="F318" s="21"/>
    </row>
    <row r="319" spans="3:6" ht="12.5">
      <c r="C319" s="21"/>
      <c r="D319" s="21"/>
      <c r="E319" s="21"/>
      <c r="F319" s="21"/>
    </row>
    <row r="320" spans="3:6" ht="12.5">
      <c r="C320" s="21"/>
      <c r="D320" s="21"/>
      <c r="E320" s="21"/>
      <c r="F320" s="21"/>
    </row>
    <row r="321" spans="3:6" ht="12.5">
      <c r="C321" s="21"/>
      <c r="D321" s="21"/>
      <c r="E321" s="21"/>
      <c r="F321" s="21"/>
    </row>
    <row r="322" spans="3:6" ht="12.5">
      <c r="C322" s="21"/>
      <c r="D322" s="21"/>
      <c r="E322" s="21"/>
      <c r="F322" s="21"/>
    </row>
    <row r="323" spans="3:6" ht="12.5">
      <c r="C323" s="21"/>
      <c r="D323" s="21"/>
      <c r="E323" s="21"/>
      <c r="F323" s="21"/>
    </row>
    <row r="324" spans="3:6" ht="12.5">
      <c r="C324" s="21"/>
      <c r="D324" s="21"/>
      <c r="E324" s="21"/>
      <c r="F324" s="21"/>
    </row>
    <row r="325" spans="3:6" ht="12.5">
      <c r="C325" s="21"/>
      <c r="D325" s="21"/>
      <c r="E325" s="21"/>
      <c r="F325" s="21"/>
    </row>
    <row r="326" spans="3:6" ht="12.5">
      <c r="C326" s="21"/>
      <c r="D326" s="21"/>
      <c r="E326" s="21"/>
      <c r="F326" s="21"/>
    </row>
    <row r="327" spans="3:6" ht="12.5">
      <c r="C327" s="21"/>
      <c r="D327" s="21"/>
      <c r="E327" s="21"/>
      <c r="F327" s="21"/>
    </row>
    <row r="328" spans="3:6" ht="12.5">
      <c r="C328" s="21"/>
      <c r="D328" s="21"/>
      <c r="E328" s="21"/>
      <c r="F328" s="21"/>
    </row>
    <row r="329" spans="3:6" ht="12.5">
      <c r="C329" s="21"/>
      <c r="D329" s="21"/>
      <c r="E329" s="21"/>
      <c r="F329" s="21"/>
    </row>
    <row r="330" spans="3:6" ht="12.5">
      <c r="C330" s="21"/>
      <c r="D330" s="21"/>
      <c r="E330" s="21"/>
      <c r="F330" s="21"/>
    </row>
    <row r="331" spans="3:6" ht="12.5">
      <c r="C331" s="21"/>
      <c r="D331" s="21"/>
      <c r="E331" s="21"/>
      <c r="F331" s="21"/>
    </row>
    <row r="332" spans="3:6" ht="12.5">
      <c r="C332" s="21"/>
      <c r="D332" s="21"/>
      <c r="E332" s="21"/>
      <c r="F332" s="21"/>
    </row>
    <row r="333" spans="3:6" ht="12.5">
      <c r="C333" s="21"/>
      <c r="D333" s="21"/>
      <c r="E333" s="21"/>
      <c r="F333" s="21"/>
    </row>
    <row r="334" spans="3:6" ht="12.5">
      <c r="C334" s="21"/>
      <c r="D334" s="21"/>
      <c r="E334" s="21"/>
      <c r="F334" s="21"/>
    </row>
    <row r="335" spans="3:6" ht="12.5">
      <c r="C335" s="21"/>
      <c r="D335" s="21"/>
      <c r="E335" s="21"/>
      <c r="F335" s="21"/>
    </row>
    <row r="336" spans="3:6" ht="12.5">
      <c r="C336" s="21"/>
      <c r="D336" s="21"/>
      <c r="E336" s="21"/>
      <c r="F336" s="21"/>
    </row>
    <row r="337" spans="3:6" ht="12.5">
      <c r="C337" s="21"/>
      <c r="D337" s="21"/>
      <c r="E337" s="21"/>
      <c r="F337" s="21"/>
    </row>
    <row r="338" spans="3:6" ht="12.5">
      <c r="C338" s="21"/>
      <c r="D338" s="21"/>
      <c r="E338" s="21"/>
      <c r="F338" s="21"/>
    </row>
    <row r="339" spans="3:6" ht="12.5">
      <c r="C339" s="21"/>
      <c r="D339" s="21"/>
      <c r="E339" s="21"/>
      <c r="F339" s="21"/>
    </row>
    <row r="340" spans="3:6" ht="12.5">
      <c r="C340" s="21"/>
      <c r="D340" s="21"/>
      <c r="E340" s="21"/>
      <c r="F340" s="21"/>
    </row>
    <row r="341" spans="3:6" ht="12.5">
      <c r="C341" s="21"/>
      <c r="D341" s="21"/>
      <c r="E341" s="21"/>
      <c r="F341" s="21"/>
    </row>
    <row r="342" spans="3:6" ht="12.5">
      <c r="C342" s="21"/>
      <c r="D342" s="21"/>
      <c r="E342" s="21"/>
      <c r="F342" s="21"/>
    </row>
    <row r="343" spans="3:6" ht="12.5">
      <c r="C343" s="21"/>
      <c r="D343" s="21"/>
      <c r="E343" s="21"/>
      <c r="F343" s="21"/>
    </row>
    <row r="344" spans="3:6" ht="12.5">
      <c r="C344" s="21"/>
      <c r="D344" s="21"/>
      <c r="E344" s="21"/>
      <c r="F344" s="21"/>
    </row>
    <row r="345" spans="3:6" ht="12.5">
      <c r="C345" s="21"/>
      <c r="D345" s="21"/>
      <c r="E345" s="21"/>
      <c r="F345" s="21"/>
    </row>
    <row r="346" spans="3:6" ht="12.5">
      <c r="C346" s="21"/>
      <c r="D346" s="21"/>
      <c r="E346" s="21"/>
      <c r="F346" s="21"/>
    </row>
    <row r="347" spans="3:6" ht="12.5">
      <c r="C347" s="21"/>
      <c r="D347" s="21"/>
      <c r="E347" s="21"/>
      <c r="F347" s="21"/>
    </row>
    <row r="348" spans="3:6" ht="12.5">
      <c r="C348" s="21"/>
      <c r="D348" s="21"/>
      <c r="E348" s="21"/>
      <c r="F348" s="21"/>
    </row>
    <row r="349" spans="3:6" ht="12.5">
      <c r="C349" s="21"/>
      <c r="D349" s="21"/>
      <c r="E349" s="21"/>
      <c r="F349" s="21"/>
    </row>
    <row r="350" spans="3:6" ht="12.5">
      <c r="C350" s="21"/>
      <c r="D350" s="21"/>
      <c r="E350" s="21"/>
      <c r="F350" s="21"/>
    </row>
    <row r="351" spans="3:6" ht="12.5">
      <c r="C351" s="21"/>
      <c r="D351" s="21"/>
      <c r="E351" s="21"/>
      <c r="F351" s="21"/>
    </row>
    <row r="352" spans="3:6" ht="12.5">
      <c r="C352" s="21"/>
      <c r="D352" s="21"/>
      <c r="E352" s="21"/>
      <c r="F352" s="21"/>
    </row>
    <row r="353" spans="3:6" ht="12.5">
      <c r="C353" s="21"/>
      <c r="D353" s="21"/>
      <c r="E353" s="21"/>
      <c r="F353" s="21"/>
    </row>
    <row r="354" spans="3:6" ht="12.5">
      <c r="C354" s="21"/>
      <c r="D354" s="21"/>
      <c r="E354" s="21"/>
      <c r="F354" s="21"/>
    </row>
    <row r="355" spans="3:6" ht="12.5">
      <c r="C355" s="21"/>
      <c r="D355" s="21"/>
      <c r="E355" s="21"/>
      <c r="F355" s="21"/>
    </row>
    <row r="356" spans="3:6" ht="12.5">
      <c r="C356" s="21"/>
      <c r="D356" s="21"/>
      <c r="E356" s="21"/>
      <c r="F356" s="21"/>
    </row>
    <row r="357" spans="3:6" ht="12.5">
      <c r="C357" s="21"/>
      <c r="D357" s="21"/>
      <c r="E357" s="21"/>
      <c r="F357" s="21"/>
    </row>
    <row r="358" spans="3:6" ht="12.5">
      <c r="C358" s="21"/>
      <c r="D358" s="21"/>
      <c r="E358" s="21"/>
      <c r="F358" s="21"/>
    </row>
    <row r="359" spans="3:6" ht="12.5">
      <c r="C359" s="21"/>
      <c r="D359" s="21"/>
      <c r="E359" s="21"/>
      <c r="F359" s="21"/>
    </row>
    <row r="360" spans="3:6" ht="12.5">
      <c r="C360" s="21"/>
      <c r="D360" s="21"/>
      <c r="E360" s="21"/>
      <c r="F360" s="21"/>
    </row>
    <row r="361" spans="3:6" ht="12.5">
      <c r="C361" s="21"/>
      <c r="D361" s="21"/>
      <c r="E361" s="21"/>
      <c r="F361" s="21"/>
    </row>
    <row r="362" spans="3:6" ht="12.5">
      <c r="C362" s="21"/>
      <c r="D362" s="21"/>
      <c r="E362" s="21"/>
      <c r="F362" s="21"/>
    </row>
    <row r="363" spans="3:6" ht="12.5">
      <c r="C363" s="21"/>
      <c r="D363" s="21"/>
      <c r="E363" s="21"/>
      <c r="F363" s="21"/>
    </row>
    <row r="364" spans="3:6" ht="12.5">
      <c r="C364" s="21"/>
      <c r="D364" s="21"/>
      <c r="E364" s="21"/>
      <c r="F364" s="21"/>
    </row>
    <row r="365" spans="3:6" ht="12.5">
      <c r="C365" s="21"/>
      <c r="D365" s="21"/>
      <c r="E365" s="21"/>
      <c r="F365" s="21"/>
    </row>
    <row r="366" spans="3:6" ht="12.5">
      <c r="C366" s="21"/>
      <c r="D366" s="21"/>
      <c r="E366" s="21"/>
      <c r="F366" s="21"/>
    </row>
    <row r="367" spans="3:6" ht="12.5">
      <c r="C367" s="21"/>
      <c r="D367" s="21"/>
      <c r="E367" s="21"/>
      <c r="F367" s="21"/>
    </row>
    <row r="368" spans="3:6" ht="12.5">
      <c r="C368" s="21"/>
      <c r="D368" s="21"/>
      <c r="E368" s="21"/>
      <c r="F368" s="21"/>
    </row>
    <row r="369" spans="3:6" ht="12.5">
      <c r="C369" s="21"/>
      <c r="D369" s="21"/>
      <c r="E369" s="21"/>
      <c r="F369" s="21"/>
    </row>
    <row r="370" spans="3:6" ht="12.5">
      <c r="C370" s="21"/>
      <c r="D370" s="21"/>
      <c r="E370" s="21"/>
      <c r="F370" s="21"/>
    </row>
    <row r="371" spans="3:6" ht="12.5">
      <c r="C371" s="21"/>
      <c r="D371" s="21"/>
      <c r="E371" s="21"/>
      <c r="F371" s="21"/>
    </row>
    <row r="372" spans="3:6" ht="12.5">
      <c r="C372" s="21"/>
      <c r="D372" s="21"/>
      <c r="E372" s="21"/>
      <c r="F372" s="21"/>
    </row>
    <row r="373" spans="3:6" ht="12.5">
      <c r="C373" s="21"/>
      <c r="D373" s="21"/>
      <c r="E373" s="21"/>
      <c r="F373" s="21"/>
    </row>
    <row r="374" spans="3:6" ht="12.5">
      <c r="C374" s="21"/>
      <c r="D374" s="21"/>
      <c r="E374" s="21"/>
      <c r="F374" s="21"/>
    </row>
    <row r="375" spans="3:6" ht="12.5">
      <c r="C375" s="21"/>
      <c r="D375" s="21"/>
      <c r="E375" s="21"/>
      <c r="F375" s="21"/>
    </row>
    <row r="376" spans="3:6" ht="12.5">
      <c r="C376" s="21"/>
      <c r="D376" s="21"/>
      <c r="E376" s="21"/>
      <c r="F376" s="21"/>
    </row>
    <row r="377" spans="3:6" ht="12.5">
      <c r="C377" s="21"/>
      <c r="D377" s="21"/>
      <c r="E377" s="21"/>
      <c r="F377" s="21"/>
    </row>
    <row r="378" spans="3:6" ht="12.5">
      <c r="C378" s="21"/>
      <c r="D378" s="21"/>
      <c r="E378" s="21"/>
      <c r="F378" s="21"/>
    </row>
    <row r="379" spans="3:6" ht="12.5">
      <c r="C379" s="21"/>
      <c r="D379" s="21"/>
      <c r="E379" s="21"/>
      <c r="F379" s="21"/>
    </row>
    <row r="380" spans="3:6" ht="12.5">
      <c r="C380" s="21"/>
      <c r="D380" s="21"/>
      <c r="E380" s="21"/>
      <c r="F380" s="21"/>
    </row>
    <row r="381" spans="3:6" ht="12.5">
      <c r="C381" s="21"/>
      <c r="D381" s="21"/>
      <c r="E381" s="21"/>
      <c r="F381" s="21"/>
    </row>
    <row r="382" spans="3:6" ht="12.5">
      <c r="C382" s="21"/>
      <c r="D382" s="21"/>
      <c r="E382" s="21"/>
      <c r="F382" s="21"/>
    </row>
    <row r="383" spans="3:6" ht="12.5">
      <c r="C383" s="21"/>
      <c r="D383" s="21"/>
      <c r="E383" s="21"/>
      <c r="F383" s="21"/>
    </row>
    <row r="384" spans="3:6" ht="12.5">
      <c r="C384" s="21"/>
      <c r="D384" s="21"/>
      <c r="E384" s="21"/>
      <c r="F384" s="21"/>
    </row>
    <row r="385" spans="3:6" ht="12.5">
      <c r="C385" s="21"/>
      <c r="D385" s="21"/>
      <c r="E385" s="21"/>
      <c r="F385" s="21"/>
    </row>
    <row r="386" spans="3:6" ht="12.5">
      <c r="C386" s="21"/>
      <c r="D386" s="21"/>
      <c r="E386" s="21"/>
      <c r="F386" s="21"/>
    </row>
    <row r="387" spans="3:6" ht="12.5">
      <c r="C387" s="21"/>
      <c r="D387" s="21"/>
      <c r="E387" s="21"/>
      <c r="F387" s="21"/>
    </row>
    <row r="388" spans="3:6" ht="12.5">
      <c r="C388" s="21"/>
      <c r="D388" s="21"/>
      <c r="E388" s="21"/>
      <c r="F388" s="21"/>
    </row>
    <row r="389" spans="3:6" ht="12.5">
      <c r="C389" s="21"/>
      <c r="D389" s="21"/>
      <c r="E389" s="21"/>
      <c r="F389" s="21"/>
    </row>
    <row r="390" spans="3:6" ht="12.5">
      <c r="C390" s="21"/>
      <c r="D390" s="21"/>
      <c r="E390" s="21"/>
      <c r="F390" s="21"/>
    </row>
    <row r="391" spans="3:6" ht="12.5">
      <c r="C391" s="21"/>
      <c r="D391" s="21"/>
      <c r="E391" s="21"/>
      <c r="F391" s="21"/>
    </row>
    <row r="392" spans="3:6" ht="12.5">
      <c r="C392" s="21"/>
      <c r="D392" s="21"/>
      <c r="E392" s="21"/>
      <c r="F392" s="21"/>
    </row>
    <row r="393" spans="3:6" ht="12.5">
      <c r="C393" s="21"/>
      <c r="D393" s="21"/>
      <c r="E393" s="21"/>
      <c r="F393" s="21"/>
    </row>
    <row r="394" spans="3:6" ht="12.5">
      <c r="C394" s="21"/>
      <c r="D394" s="21"/>
      <c r="E394" s="21"/>
      <c r="F394" s="21"/>
    </row>
    <row r="395" spans="3:6" ht="12.5">
      <c r="C395" s="21"/>
      <c r="D395" s="21"/>
      <c r="E395" s="21"/>
      <c r="F395" s="21"/>
    </row>
    <row r="396" spans="3:6" ht="12.5">
      <c r="C396" s="21"/>
      <c r="D396" s="21"/>
      <c r="E396" s="21"/>
      <c r="F396" s="21"/>
    </row>
    <row r="397" spans="3:6" ht="12.5">
      <c r="C397" s="21"/>
      <c r="D397" s="21"/>
      <c r="E397" s="21"/>
      <c r="F397" s="21"/>
    </row>
    <row r="398" spans="3:6" ht="12.5">
      <c r="C398" s="21"/>
      <c r="D398" s="21"/>
      <c r="E398" s="21"/>
      <c r="F398" s="21"/>
    </row>
    <row r="399" spans="3:6" ht="12.5">
      <c r="C399" s="21"/>
      <c r="D399" s="21"/>
      <c r="E399" s="21"/>
      <c r="F399" s="21"/>
    </row>
    <row r="400" spans="3:6" ht="12.5">
      <c r="C400" s="21"/>
      <c r="D400" s="21"/>
      <c r="E400" s="21"/>
      <c r="F400" s="21"/>
    </row>
    <row r="401" spans="3:6" ht="12.5">
      <c r="C401" s="21"/>
      <c r="D401" s="21"/>
      <c r="E401" s="21"/>
      <c r="F401" s="21"/>
    </row>
    <row r="402" spans="3:6" ht="12.5">
      <c r="C402" s="21"/>
      <c r="D402" s="21"/>
      <c r="E402" s="21"/>
      <c r="F402" s="21"/>
    </row>
    <row r="403" spans="3:6" ht="12.5">
      <c r="C403" s="21"/>
      <c r="D403" s="21"/>
      <c r="E403" s="21"/>
      <c r="F403" s="21"/>
    </row>
    <row r="404" spans="3:6" ht="12.5">
      <c r="C404" s="21"/>
      <c r="D404" s="21"/>
      <c r="E404" s="21"/>
      <c r="F404" s="21"/>
    </row>
    <row r="405" spans="3:6" ht="12.5">
      <c r="C405" s="21"/>
      <c r="D405" s="21"/>
      <c r="E405" s="21"/>
      <c r="F405" s="21"/>
    </row>
    <row r="406" spans="3:6" ht="12.5">
      <c r="C406" s="21"/>
      <c r="D406" s="21"/>
      <c r="E406" s="21"/>
      <c r="F406" s="21"/>
    </row>
    <row r="407" spans="3:6" ht="12.5">
      <c r="C407" s="21"/>
      <c r="D407" s="21"/>
      <c r="E407" s="21"/>
      <c r="F407" s="21"/>
    </row>
    <row r="408" spans="3:6" ht="12.5">
      <c r="C408" s="21"/>
      <c r="D408" s="21"/>
      <c r="E408" s="21"/>
      <c r="F408" s="21"/>
    </row>
    <row r="409" spans="3:6" ht="12.5">
      <c r="C409" s="21"/>
      <c r="D409" s="21"/>
      <c r="E409" s="21"/>
      <c r="F409" s="21"/>
    </row>
    <row r="410" spans="3:6" ht="12.5">
      <c r="C410" s="21"/>
      <c r="D410" s="21"/>
      <c r="E410" s="21"/>
      <c r="F410" s="21"/>
    </row>
    <row r="411" spans="3:6" ht="12.5">
      <c r="C411" s="21"/>
      <c r="D411" s="21"/>
      <c r="E411" s="21"/>
      <c r="F411" s="21"/>
    </row>
    <row r="412" spans="3:6" ht="12.5">
      <c r="C412" s="21"/>
      <c r="D412" s="21"/>
      <c r="E412" s="21"/>
      <c r="F412" s="21"/>
    </row>
    <row r="413" spans="3:6" ht="12.5">
      <c r="C413" s="21"/>
      <c r="D413" s="21"/>
      <c r="E413" s="21"/>
      <c r="F413" s="21"/>
    </row>
    <row r="414" spans="3:6" ht="12.5">
      <c r="C414" s="21"/>
      <c r="D414" s="21"/>
      <c r="E414" s="21"/>
      <c r="F414" s="21"/>
    </row>
    <row r="415" spans="3:6" ht="12.5">
      <c r="C415" s="21"/>
      <c r="D415" s="21"/>
      <c r="E415" s="21"/>
      <c r="F415" s="21"/>
    </row>
    <row r="416" spans="3:6" ht="12.5">
      <c r="C416" s="21"/>
      <c r="D416" s="21"/>
      <c r="E416" s="21"/>
      <c r="F416" s="21"/>
    </row>
    <row r="417" spans="3:6" ht="12.5">
      <c r="C417" s="21"/>
      <c r="D417" s="21"/>
      <c r="E417" s="21"/>
      <c r="F417" s="21"/>
    </row>
    <row r="418" spans="3:6" ht="12.5">
      <c r="C418" s="21"/>
      <c r="D418" s="21"/>
      <c r="E418" s="21"/>
      <c r="F418" s="21"/>
    </row>
    <row r="419" spans="3:6" ht="12.5">
      <c r="C419" s="21"/>
      <c r="D419" s="21"/>
      <c r="E419" s="21"/>
      <c r="F419" s="21"/>
    </row>
    <row r="420" spans="3:6" ht="12.5">
      <c r="C420" s="21"/>
      <c r="D420" s="21"/>
      <c r="E420" s="21"/>
      <c r="F420" s="21"/>
    </row>
    <row r="421" spans="3:6" ht="12.5">
      <c r="C421" s="21"/>
      <c r="D421" s="21"/>
      <c r="E421" s="21"/>
      <c r="F421" s="21"/>
    </row>
    <row r="422" spans="3:6" ht="12.5">
      <c r="C422" s="21"/>
      <c r="D422" s="21"/>
      <c r="E422" s="21"/>
      <c r="F422" s="21"/>
    </row>
    <row r="423" spans="3:6" ht="12.5">
      <c r="C423" s="21"/>
      <c r="D423" s="21"/>
      <c r="E423" s="21"/>
      <c r="F423" s="21"/>
    </row>
    <row r="424" spans="3:6" ht="12.5">
      <c r="C424" s="21"/>
      <c r="D424" s="21"/>
      <c r="E424" s="21"/>
      <c r="F424" s="21"/>
    </row>
    <row r="425" spans="3:6" ht="12.5">
      <c r="C425" s="21"/>
      <c r="D425" s="21"/>
      <c r="E425" s="21"/>
      <c r="F425" s="21"/>
    </row>
    <row r="426" spans="3:6" ht="12.5">
      <c r="C426" s="21"/>
      <c r="D426" s="21"/>
      <c r="E426" s="21"/>
      <c r="F426" s="21"/>
    </row>
    <row r="427" spans="3:6" ht="12.5">
      <c r="C427" s="21"/>
      <c r="D427" s="21"/>
      <c r="E427" s="21"/>
      <c r="F427" s="21"/>
    </row>
    <row r="428" spans="3:6" ht="12.5">
      <c r="C428" s="21"/>
      <c r="D428" s="21"/>
      <c r="E428" s="21"/>
      <c r="F428" s="21"/>
    </row>
    <row r="429" spans="3:6" ht="12.5">
      <c r="C429" s="21"/>
      <c r="D429" s="21"/>
      <c r="E429" s="21"/>
      <c r="F429" s="21"/>
    </row>
    <row r="430" spans="3:6" ht="12.5">
      <c r="C430" s="21"/>
      <c r="D430" s="21"/>
      <c r="E430" s="21"/>
      <c r="F430" s="21"/>
    </row>
    <row r="431" spans="3:6" ht="12.5">
      <c r="C431" s="21"/>
      <c r="D431" s="21"/>
      <c r="E431" s="21"/>
      <c r="F431" s="21"/>
    </row>
    <row r="432" spans="3:6" ht="12.5">
      <c r="C432" s="21"/>
      <c r="D432" s="21"/>
      <c r="E432" s="21"/>
      <c r="F432" s="21"/>
    </row>
    <row r="433" spans="3:6" ht="12.5">
      <c r="C433" s="21"/>
      <c r="D433" s="21"/>
      <c r="E433" s="21"/>
      <c r="F433" s="21"/>
    </row>
    <row r="434" spans="3:6" ht="12.5">
      <c r="C434" s="21"/>
      <c r="D434" s="21"/>
      <c r="E434" s="21"/>
      <c r="F434" s="21"/>
    </row>
    <row r="435" spans="3:6" ht="12.5">
      <c r="C435" s="21"/>
      <c r="D435" s="21"/>
      <c r="E435" s="21"/>
      <c r="F435" s="21"/>
    </row>
    <row r="436" spans="3:6" ht="12.5">
      <c r="C436" s="21"/>
      <c r="D436" s="21"/>
      <c r="E436" s="21"/>
      <c r="F436" s="21"/>
    </row>
    <row r="437" spans="3:6" ht="12.5">
      <c r="C437" s="21"/>
      <c r="D437" s="21"/>
      <c r="E437" s="21"/>
      <c r="F437" s="21"/>
    </row>
    <row r="438" spans="3:6" ht="12.5">
      <c r="C438" s="21"/>
      <c r="D438" s="21"/>
      <c r="E438" s="21"/>
      <c r="F438" s="21"/>
    </row>
    <row r="439" spans="3:6" ht="12.5">
      <c r="C439" s="21"/>
      <c r="D439" s="21"/>
      <c r="E439" s="21"/>
      <c r="F439" s="21"/>
    </row>
    <row r="440" spans="3:6" ht="12.5">
      <c r="C440" s="21"/>
      <c r="D440" s="21"/>
      <c r="E440" s="21"/>
      <c r="F440" s="21"/>
    </row>
    <row r="441" spans="3:6" ht="12.5">
      <c r="C441" s="21"/>
      <c r="D441" s="21"/>
      <c r="E441" s="21"/>
      <c r="F441" s="21"/>
    </row>
    <row r="442" spans="3:6" ht="12.5">
      <c r="C442" s="21"/>
      <c r="D442" s="21"/>
      <c r="E442" s="21"/>
      <c r="F442" s="21"/>
    </row>
    <row r="443" spans="3:6" ht="12.5">
      <c r="C443" s="21"/>
      <c r="D443" s="21"/>
      <c r="E443" s="21"/>
      <c r="F443" s="21"/>
    </row>
    <row r="444" spans="3:6" ht="12.5">
      <c r="C444" s="21"/>
      <c r="D444" s="21"/>
      <c r="E444" s="21"/>
      <c r="F444" s="21"/>
    </row>
    <row r="445" spans="3:6" ht="12.5">
      <c r="C445" s="21"/>
      <c r="D445" s="21"/>
      <c r="E445" s="21"/>
      <c r="F445" s="21"/>
    </row>
    <row r="446" spans="3:6" ht="12.5">
      <c r="C446" s="21"/>
      <c r="D446" s="21"/>
      <c r="E446" s="21"/>
      <c r="F446" s="21"/>
    </row>
    <row r="447" spans="3:6" ht="12.5">
      <c r="C447" s="21"/>
      <c r="D447" s="21"/>
      <c r="E447" s="21"/>
      <c r="F447" s="21"/>
    </row>
    <row r="448" spans="3:6" ht="12.5">
      <c r="C448" s="21"/>
      <c r="D448" s="21"/>
      <c r="E448" s="21"/>
      <c r="F448" s="21"/>
    </row>
    <row r="449" spans="3:6" ht="12.5">
      <c r="C449" s="21"/>
      <c r="D449" s="21"/>
      <c r="E449" s="21"/>
      <c r="F449" s="21"/>
    </row>
    <row r="450" spans="3:6" ht="12.5">
      <c r="C450" s="21"/>
      <c r="D450" s="21"/>
      <c r="E450" s="21"/>
      <c r="F450" s="21"/>
    </row>
    <row r="451" spans="3:6" ht="12.5">
      <c r="C451" s="21"/>
      <c r="D451" s="21"/>
      <c r="E451" s="21"/>
      <c r="F451" s="21"/>
    </row>
    <row r="452" spans="3:6" ht="12.5">
      <c r="C452" s="21"/>
      <c r="D452" s="21"/>
      <c r="E452" s="21"/>
      <c r="F452" s="21"/>
    </row>
    <row r="453" spans="3:6" ht="12.5">
      <c r="C453" s="21"/>
      <c r="D453" s="21"/>
      <c r="E453" s="21"/>
      <c r="F453" s="21"/>
    </row>
    <row r="454" spans="3:6" ht="12.5">
      <c r="C454" s="21"/>
      <c r="D454" s="21"/>
      <c r="E454" s="21"/>
      <c r="F454" s="21"/>
    </row>
    <row r="455" spans="3:6" ht="12.5">
      <c r="C455" s="21"/>
      <c r="D455" s="21"/>
      <c r="E455" s="21"/>
      <c r="F455" s="21"/>
    </row>
    <row r="456" spans="3:6" ht="12.5">
      <c r="C456" s="21"/>
      <c r="D456" s="21"/>
      <c r="E456" s="21"/>
      <c r="F456" s="21"/>
    </row>
    <row r="457" spans="3:6" ht="12.5">
      <c r="C457" s="21"/>
      <c r="D457" s="21"/>
      <c r="E457" s="21"/>
      <c r="F457" s="21"/>
    </row>
    <row r="458" spans="3:6" ht="12.5">
      <c r="C458" s="21"/>
      <c r="D458" s="21"/>
      <c r="E458" s="21"/>
      <c r="F458" s="21"/>
    </row>
    <row r="459" spans="3:6" ht="12.5">
      <c r="C459" s="21"/>
      <c r="D459" s="21"/>
      <c r="E459" s="21"/>
      <c r="F459" s="21"/>
    </row>
    <row r="460" spans="3:6" ht="12.5">
      <c r="C460" s="21"/>
      <c r="D460" s="21"/>
      <c r="E460" s="21"/>
      <c r="F460" s="21"/>
    </row>
    <row r="461" spans="3:6" ht="12.5">
      <c r="C461" s="21"/>
      <c r="D461" s="21"/>
      <c r="E461" s="21"/>
      <c r="F461" s="21"/>
    </row>
    <row r="462" spans="3:6" ht="12.5">
      <c r="C462" s="21"/>
      <c r="D462" s="21"/>
      <c r="E462" s="21"/>
      <c r="F462" s="21"/>
    </row>
    <row r="463" spans="3:6" ht="12.5">
      <c r="C463" s="21"/>
      <c r="D463" s="21"/>
      <c r="E463" s="21"/>
      <c r="F463" s="21"/>
    </row>
    <row r="464" spans="3:6" ht="12.5">
      <c r="C464" s="21"/>
      <c r="D464" s="21"/>
      <c r="E464" s="21"/>
      <c r="F464" s="21"/>
    </row>
    <row r="465" spans="3:6" ht="12.5">
      <c r="C465" s="21"/>
      <c r="D465" s="21"/>
      <c r="E465" s="21"/>
      <c r="F465" s="21"/>
    </row>
    <row r="466" spans="3:6" ht="12.5">
      <c r="C466" s="21"/>
      <c r="D466" s="21"/>
      <c r="E466" s="21"/>
      <c r="F466" s="21"/>
    </row>
    <row r="467" spans="3:6" ht="12.5">
      <c r="C467" s="21"/>
      <c r="D467" s="21"/>
      <c r="E467" s="21"/>
      <c r="F467" s="21"/>
    </row>
    <row r="468" spans="3:6" ht="12.5">
      <c r="C468" s="21"/>
      <c r="D468" s="21"/>
      <c r="E468" s="21"/>
      <c r="F468" s="21"/>
    </row>
    <row r="469" spans="3:6" ht="12.5">
      <c r="C469" s="21"/>
      <c r="D469" s="21"/>
      <c r="E469" s="21"/>
      <c r="F469" s="21"/>
    </row>
    <row r="470" spans="3:6" ht="12.5">
      <c r="C470" s="21"/>
      <c r="D470" s="21"/>
      <c r="E470" s="21"/>
      <c r="F470" s="21"/>
    </row>
    <row r="471" spans="3:6" ht="12.5">
      <c r="C471" s="21"/>
      <c r="D471" s="21"/>
      <c r="E471" s="21"/>
      <c r="F471" s="21"/>
    </row>
    <row r="472" spans="3:6" ht="12.5">
      <c r="C472" s="21"/>
      <c r="D472" s="21"/>
      <c r="E472" s="21"/>
      <c r="F472" s="21"/>
    </row>
    <row r="473" spans="3:6" ht="12.5">
      <c r="C473" s="21"/>
      <c r="D473" s="21"/>
      <c r="E473" s="21"/>
      <c r="F473" s="21"/>
    </row>
    <row r="474" spans="3:6" ht="12.5">
      <c r="C474" s="21"/>
      <c r="D474" s="21"/>
      <c r="E474" s="21"/>
      <c r="F474" s="21"/>
    </row>
    <row r="475" spans="3:6" ht="12.5">
      <c r="C475" s="21"/>
      <c r="D475" s="21"/>
      <c r="E475" s="21"/>
      <c r="F475" s="21"/>
    </row>
    <row r="476" spans="3:6" ht="12.5">
      <c r="C476" s="21"/>
      <c r="D476" s="21"/>
      <c r="E476" s="21"/>
      <c r="F476" s="21"/>
    </row>
    <row r="477" spans="3:6" ht="12.5">
      <c r="C477" s="21"/>
      <c r="D477" s="21"/>
      <c r="E477" s="21"/>
      <c r="F477" s="21"/>
    </row>
    <row r="478" spans="3:6" ht="12.5">
      <c r="C478" s="21"/>
      <c r="D478" s="21"/>
      <c r="E478" s="21"/>
      <c r="F478" s="21"/>
    </row>
    <row r="479" spans="3:6" ht="12.5">
      <c r="C479" s="21"/>
      <c r="D479" s="21"/>
      <c r="E479" s="21"/>
      <c r="F479" s="21"/>
    </row>
    <row r="480" spans="3:6" ht="12.5">
      <c r="C480" s="21"/>
      <c r="D480" s="21"/>
      <c r="E480" s="21"/>
      <c r="F480" s="21"/>
    </row>
    <row r="481" spans="3:6" ht="12.5">
      <c r="C481" s="21"/>
      <c r="D481" s="21"/>
      <c r="E481" s="21"/>
      <c r="F481" s="21"/>
    </row>
    <row r="482" spans="3:6" ht="12.5">
      <c r="C482" s="21"/>
      <c r="D482" s="21"/>
      <c r="E482" s="21"/>
      <c r="F482" s="21"/>
    </row>
    <row r="483" spans="3:6" ht="12.5">
      <c r="C483" s="21"/>
      <c r="D483" s="21"/>
      <c r="E483" s="21"/>
      <c r="F483" s="21"/>
    </row>
    <row r="484" spans="3:6" ht="12.5">
      <c r="C484" s="21"/>
      <c r="D484" s="21"/>
      <c r="E484" s="21"/>
      <c r="F484" s="21"/>
    </row>
    <row r="485" spans="3:6" ht="12.5">
      <c r="C485" s="21"/>
      <c r="D485" s="21"/>
      <c r="E485" s="21"/>
      <c r="F485" s="21"/>
    </row>
    <row r="486" spans="3:6" ht="12.5">
      <c r="C486" s="21"/>
      <c r="D486" s="21"/>
      <c r="E486" s="21"/>
      <c r="F486" s="21"/>
    </row>
    <row r="487" spans="3:6" ht="12.5">
      <c r="C487" s="21"/>
      <c r="D487" s="21"/>
      <c r="E487" s="21"/>
      <c r="F487" s="21"/>
    </row>
    <row r="488" spans="3:6" ht="12.5">
      <c r="C488" s="21"/>
      <c r="D488" s="21"/>
      <c r="E488" s="21"/>
      <c r="F488" s="21"/>
    </row>
    <row r="489" spans="3:6" ht="12.5">
      <c r="C489" s="21"/>
      <c r="D489" s="21"/>
      <c r="E489" s="21"/>
      <c r="F489" s="21"/>
    </row>
    <row r="490" spans="3:6" ht="12.5">
      <c r="C490" s="21"/>
      <c r="D490" s="21"/>
      <c r="E490" s="21"/>
      <c r="F490" s="21"/>
    </row>
    <row r="491" spans="3:6" ht="12.5">
      <c r="C491" s="21"/>
      <c r="D491" s="21"/>
      <c r="E491" s="21"/>
      <c r="F491" s="21"/>
    </row>
    <row r="492" spans="3:6" ht="12.5">
      <c r="C492" s="21"/>
      <c r="D492" s="21"/>
      <c r="E492" s="21"/>
      <c r="F492" s="21"/>
    </row>
    <row r="493" spans="3:6" ht="12.5">
      <c r="C493" s="21"/>
      <c r="D493" s="21"/>
      <c r="E493" s="21"/>
      <c r="F493" s="21"/>
    </row>
    <row r="494" spans="3:6" ht="12.5">
      <c r="C494" s="21"/>
      <c r="D494" s="21"/>
      <c r="E494" s="21"/>
      <c r="F494" s="21"/>
    </row>
    <row r="495" spans="3:6" ht="12.5">
      <c r="C495" s="21"/>
      <c r="D495" s="21"/>
      <c r="E495" s="21"/>
      <c r="F495" s="21"/>
    </row>
    <row r="496" spans="3:6" ht="12.5">
      <c r="C496" s="21"/>
      <c r="D496" s="21"/>
      <c r="E496" s="21"/>
      <c r="F496" s="21"/>
    </row>
    <row r="497" spans="3:6" ht="12.5">
      <c r="C497" s="21"/>
      <c r="D497" s="21"/>
      <c r="E497" s="21"/>
      <c r="F497" s="21"/>
    </row>
    <row r="498" spans="3:6" ht="12.5">
      <c r="C498" s="21"/>
      <c r="D498" s="21"/>
      <c r="E498" s="21"/>
      <c r="F498" s="21"/>
    </row>
    <row r="499" spans="3:6" ht="12.5">
      <c r="C499" s="21"/>
      <c r="D499" s="21"/>
      <c r="E499" s="21"/>
      <c r="F499" s="21"/>
    </row>
    <row r="500" spans="3:6" ht="12.5">
      <c r="C500" s="21"/>
      <c r="D500" s="21"/>
      <c r="E500" s="21"/>
      <c r="F500" s="21"/>
    </row>
    <row r="501" spans="3:6" ht="12.5">
      <c r="C501" s="21"/>
      <c r="D501" s="21"/>
      <c r="E501" s="21"/>
      <c r="F501" s="21"/>
    </row>
    <row r="502" spans="3:6" ht="12.5">
      <c r="C502" s="21"/>
      <c r="D502" s="21"/>
      <c r="E502" s="21"/>
      <c r="F502" s="21"/>
    </row>
    <row r="503" spans="3:6" ht="12.5">
      <c r="C503" s="21"/>
      <c r="D503" s="21"/>
      <c r="E503" s="21"/>
      <c r="F503" s="21"/>
    </row>
    <row r="504" spans="3:6" ht="12.5">
      <c r="C504" s="21"/>
      <c r="D504" s="21"/>
      <c r="E504" s="21"/>
      <c r="F504" s="21"/>
    </row>
    <row r="505" spans="3:6" ht="12.5">
      <c r="C505" s="21"/>
      <c r="D505" s="21"/>
      <c r="E505" s="21"/>
      <c r="F505" s="21"/>
    </row>
    <row r="506" spans="3:6" ht="12.5">
      <c r="C506" s="21"/>
      <c r="D506" s="21"/>
      <c r="E506" s="21"/>
      <c r="F506" s="21"/>
    </row>
    <row r="507" spans="3:6" ht="12.5">
      <c r="C507" s="21"/>
      <c r="D507" s="21"/>
      <c r="E507" s="21"/>
      <c r="F507" s="21"/>
    </row>
    <row r="508" spans="3:6" ht="12.5">
      <c r="C508" s="21"/>
      <c r="D508" s="21"/>
      <c r="E508" s="21"/>
      <c r="F508" s="21"/>
    </row>
    <row r="509" spans="3:6" ht="12.5">
      <c r="C509" s="21"/>
      <c r="D509" s="21"/>
      <c r="E509" s="21"/>
      <c r="F509" s="21"/>
    </row>
    <row r="510" spans="3:6" ht="12.5">
      <c r="C510" s="21"/>
      <c r="D510" s="21"/>
      <c r="E510" s="21"/>
      <c r="F510" s="21"/>
    </row>
    <row r="511" spans="3:6" ht="12.5">
      <c r="C511" s="21"/>
      <c r="D511" s="21"/>
      <c r="E511" s="21"/>
      <c r="F511" s="21"/>
    </row>
    <row r="512" spans="3:6" ht="12.5">
      <c r="C512" s="21"/>
      <c r="D512" s="21"/>
      <c r="E512" s="21"/>
      <c r="F512" s="21"/>
    </row>
    <row r="513" spans="3:6" ht="12.5">
      <c r="C513" s="21"/>
      <c r="D513" s="21"/>
      <c r="E513" s="21"/>
      <c r="F513" s="21"/>
    </row>
    <row r="514" spans="3:6" ht="12.5">
      <c r="C514" s="21"/>
      <c r="D514" s="21"/>
      <c r="E514" s="21"/>
      <c r="F514" s="21"/>
    </row>
    <row r="515" spans="3:6" ht="12.5">
      <c r="C515" s="21"/>
      <c r="D515" s="21"/>
      <c r="E515" s="21"/>
      <c r="F515" s="21"/>
    </row>
    <row r="516" spans="3:6" ht="12.5">
      <c r="C516" s="21"/>
      <c r="D516" s="21"/>
      <c r="E516" s="21"/>
      <c r="F516" s="21"/>
    </row>
    <row r="517" spans="3:6" ht="12.5">
      <c r="C517" s="21"/>
      <c r="D517" s="21"/>
      <c r="E517" s="21"/>
      <c r="F517" s="21"/>
    </row>
    <row r="518" spans="3:6" ht="12.5">
      <c r="C518" s="21"/>
      <c r="D518" s="21"/>
      <c r="E518" s="21"/>
      <c r="F518" s="21"/>
    </row>
    <row r="519" spans="3:6" ht="12.5">
      <c r="C519" s="21"/>
      <c r="D519" s="21"/>
      <c r="E519" s="21"/>
      <c r="F519" s="21"/>
    </row>
    <row r="520" spans="3:6" ht="12.5">
      <c r="C520" s="21"/>
      <c r="D520" s="21"/>
      <c r="E520" s="21"/>
      <c r="F520" s="21"/>
    </row>
    <row r="521" spans="3:6" ht="12.5">
      <c r="C521" s="21"/>
      <c r="D521" s="21"/>
      <c r="E521" s="21"/>
      <c r="F521" s="21"/>
    </row>
    <row r="522" spans="3:6" ht="12.5">
      <c r="C522" s="21"/>
      <c r="D522" s="21"/>
      <c r="E522" s="21"/>
      <c r="F522" s="21"/>
    </row>
    <row r="523" spans="3:6" ht="12.5">
      <c r="C523" s="21"/>
      <c r="D523" s="21"/>
      <c r="E523" s="21"/>
      <c r="F523" s="21"/>
    </row>
    <row r="524" spans="3:6" ht="12.5">
      <c r="C524" s="21"/>
      <c r="D524" s="21"/>
      <c r="E524" s="21"/>
      <c r="F524" s="21"/>
    </row>
    <row r="525" spans="3:6" ht="12.5">
      <c r="C525" s="21"/>
      <c r="D525" s="21"/>
      <c r="E525" s="21"/>
      <c r="F525" s="21"/>
    </row>
    <row r="526" spans="3:6" ht="12.5">
      <c r="C526" s="21"/>
      <c r="D526" s="21"/>
      <c r="E526" s="21"/>
      <c r="F526" s="21"/>
    </row>
    <row r="527" spans="3:6" ht="12.5">
      <c r="C527" s="21"/>
      <c r="D527" s="21"/>
      <c r="E527" s="21"/>
      <c r="F527" s="21"/>
    </row>
    <row r="528" spans="3:6" ht="12.5">
      <c r="C528" s="21"/>
      <c r="D528" s="21"/>
      <c r="E528" s="21"/>
      <c r="F528" s="21"/>
    </row>
    <row r="529" spans="3:6" ht="12.5">
      <c r="C529" s="21"/>
      <c r="D529" s="21"/>
      <c r="E529" s="21"/>
      <c r="F529" s="21"/>
    </row>
    <row r="530" spans="3:6" ht="12.5">
      <c r="C530" s="21"/>
      <c r="D530" s="21"/>
      <c r="E530" s="21"/>
      <c r="F530" s="21"/>
    </row>
    <row r="531" spans="3:6" ht="12.5">
      <c r="C531" s="21"/>
      <c r="D531" s="21"/>
      <c r="E531" s="21"/>
      <c r="F531" s="21"/>
    </row>
    <row r="532" spans="3:6" ht="12.5">
      <c r="C532" s="21"/>
      <c r="D532" s="21"/>
      <c r="E532" s="21"/>
      <c r="F532" s="21"/>
    </row>
    <row r="533" spans="3:6" ht="12.5">
      <c r="C533" s="21"/>
      <c r="D533" s="21"/>
      <c r="E533" s="21"/>
      <c r="F533" s="21"/>
    </row>
    <row r="534" spans="3:6" ht="12.5">
      <c r="C534" s="21"/>
      <c r="D534" s="21"/>
      <c r="E534" s="21"/>
      <c r="F534" s="21"/>
    </row>
    <row r="535" spans="3:6" ht="12.5">
      <c r="C535" s="21"/>
      <c r="D535" s="21"/>
      <c r="E535" s="21"/>
      <c r="F535" s="21"/>
    </row>
    <row r="536" spans="3:6" ht="12.5">
      <c r="C536" s="21"/>
      <c r="D536" s="21"/>
      <c r="E536" s="21"/>
      <c r="F536" s="21"/>
    </row>
    <row r="537" spans="3:6" ht="12.5">
      <c r="C537" s="21"/>
      <c r="D537" s="21"/>
      <c r="E537" s="21"/>
      <c r="F537" s="21"/>
    </row>
    <row r="538" spans="3:6" ht="12.5">
      <c r="C538" s="21"/>
      <c r="D538" s="21"/>
      <c r="E538" s="21"/>
      <c r="F538" s="21"/>
    </row>
    <row r="539" spans="3:6" ht="12.5">
      <c r="C539" s="21"/>
      <c r="D539" s="21"/>
      <c r="E539" s="21"/>
      <c r="F539" s="21"/>
    </row>
    <row r="540" spans="3:6" ht="12.5">
      <c r="C540" s="21"/>
      <c r="D540" s="21"/>
      <c r="E540" s="21"/>
      <c r="F540" s="21"/>
    </row>
    <row r="541" spans="3:6" ht="12.5">
      <c r="C541" s="21"/>
      <c r="D541" s="21"/>
      <c r="E541" s="21"/>
      <c r="F541" s="21"/>
    </row>
    <row r="542" spans="3:6" ht="12.5">
      <c r="C542" s="21"/>
      <c r="D542" s="21"/>
      <c r="E542" s="21"/>
      <c r="F542" s="21"/>
    </row>
    <row r="543" spans="3:6" ht="12.5">
      <c r="C543" s="21"/>
      <c r="D543" s="21"/>
      <c r="E543" s="21"/>
      <c r="F543" s="21"/>
    </row>
    <row r="544" spans="3:6" ht="12.5">
      <c r="C544" s="21"/>
      <c r="D544" s="21"/>
      <c r="E544" s="21"/>
      <c r="F544" s="21"/>
    </row>
    <row r="545" spans="3:6" ht="12.5">
      <c r="C545" s="21"/>
      <c r="D545" s="21"/>
      <c r="E545" s="21"/>
      <c r="F545" s="21"/>
    </row>
    <row r="546" spans="3:6" ht="12.5">
      <c r="C546" s="21"/>
      <c r="D546" s="21"/>
      <c r="E546" s="21"/>
      <c r="F546" s="21"/>
    </row>
    <row r="547" spans="3:6" ht="12.5">
      <c r="C547" s="21"/>
      <c r="D547" s="21"/>
      <c r="E547" s="21"/>
      <c r="F547" s="21"/>
    </row>
    <row r="548" spans="3:6" ht="12.5">
      <c r="C548" s="21"/>
      <c r="D548" s="21"/>
      <c r="E548" s="21"/>
      <c r="F548" s="21"/>
    </row>
    <row r="549" spans="3:6" ht="12.5">
      <c r="C549" s="21"/>
      <c r="D549" s="21"/>
      <c r="E549" s="21"/>
      <c r="F549" s="21"/>
    </row>
    <row r="550" spans="3:6" ht="12.5">
      <c r="C550" s="21"/>
      <c r="D550" s="21"/>
      <c r="E550" s="21"/>
      <c r="F550" s="21"/>
    </row>
    <row r="551" spans="3:6" ht="12.5">
      <c r="C551" s="21"/>
      <c r="D551" s="21"/>
      <c r="E551" s="21"/>
      <c r="F551" s="21"/>
    </row>
    <row r="552" spans="3:6" ht="12.5">
      <c r="C552" s="21"/>
      <c r="D552" s="21"/>
      <c r="E552" s="21"/>
      <c r="F552" s="21"/>
    </row>
    <row r="553" spans="3:6" ht="12.5">
      <c r="C553" s="21"/>
      <c r="D553" s="21"/>
      <c r="E553" s="21"/>
      <c r="F553" s="21"/>
    </row>
    <row r="554" spans="3:6" ht="12.5">
      <c r="C554" s="21"/>
      <c r="D554" s="21"/>
      <c r="E554" s="21"/>
      <c r="F554" s="21"/>
    </row>
    <row r="555" spans="3:6" ht="12.5">
      <c r="C555" s="21"/>
      <c r="D555" s="21"/>
      <c r="E555" s="21"/>
      <c r="F555" s="21"/>
    </row>
    <row r="556" spans="3:6" ht="12.5">
      <c r="C556" s="21"/>
      <c r="D556" s="21"/>
      <c r="E556" s="21"/>
      <c r="F556" s="21"/>
    </row>
    <row r="557" spans="3:6" ht="12.5">
      <c r="C557" s="21"/>
      <c r="D557" s="21"/>
      <c r="E557" s="21"/>
      <c r="F557" s="21"/>
    </row>
    <row r="558" spans="3:6" ht="12.5">
      <c r="C558" s="21"/>
      <c r="D558" s="21"/>
      <c r="E558" s="21"/>
      <c r="F558" s="21"/>
    </row>
    <row r="559" spans="3:6" ht="12.5">
      <c r="C559" s="21"/>
      <c r="D559" s="21"/>
      <c r="E559" s="21"/>
      <c r="F559" s="21"/>
    </row>
    <row r="560" spans="3:6" ht="12.5">
      <c r="C560" s="21"/>
      <c r="D560" s="21"/>
      <c r="E560" s="21"/>
      <c r="F560" s="21"/>
    </row>
    <row r="561" spans="3:6" ht="12.5">
      <c r="C561" s="21"/>
      <c r="D561" s="21"/>
      <c r="E561" s="21"/>
      <c r="F561" s="21"/>
    </row>
    <row r="562" spans="3:6" ht="12.5">
      <c r="C562" s="21"/>
      <c r="D562" s="21"/>
      <c r="E562" s="21"/>
      <c r="F562" s="21"/>
    </row>
    <row r="563" spans="3:6" ht="12.5">
      <c r="C563" s="21"/>
      <c r="D563" s="21"/>
      <c r="E563" s="21"/>
      <c r="F563" s="21"/>
    </row>
    <row r="564" spans="3:6" ht="12.5">
      <c r="C564" s="21"/>
      <c r="D564" s="21"/>
      <c r="E564" s="21"/>
      <c r="F564" s="21"/>
    </row>
    <row r="565" spans="3:6" ht="12.5">
      <c r="C565" s="21"/>
      <c r="D565" s="21"/>
      <c r="E565" s="21"/>
      <c r="F565" s="21"/>
    </row>
    <row r="566" spans="3:6" ht="12.5">
      <c r="C566" s="21"/>
      <c r="D566" s="21"/>
      <c r="E566" s="21"/>
      <c r="F566" s="21"/>
    </row>
    <row r="567" spans="3:6" ht="12.5">
      <c r="C567" s="21"/>
      <c r="D567" s="21"/>
      <c r="E567" s="21"/>
      <c r="F567" s="21"/>
    </row>
    <row r="568" spans="3:6" ht="12.5">
      <c r="C568" s="21"/>
      <c r="D568" s="21"/>
      <c r="E568" s="21"/>
      <c r="F568" s="21"/>
    </row>
    <row r="569" spans="3:6" ht="12.5">
      <c r="C569" s="21"/>
      <c r="D569" s="21"/>
      <c r="E569" s="21"/>
      <c r="F569" s="21"/>
    </row>
    <row r="570" spans="3:6" ht="12.5">
      <c r="C570" s="21"/>
      <c r="D570" s="21"/>
      <c r="E570" s="21"/>
      <c r="F570" s="21"/>
    </row>
    <row r="571" spans="3:6" ht="12.5">
      <c r="C571" s="21"/>
      <c r="D571" s="21"/>
      <c r="E571" s="21"/>
      <c r="F571" s="21"/>
    </row>
    <row r="572" spans="3:6" ht="12.5">
      <c r="C572" s="21"/>
      <c r="D572" s="21"/>
      <c r="E572" s="21"/>
      <c r="F572" s="21"/>
    </row>
    <row r="573" spans="3:6" ht="12.5">
      <c r="C573" s="21"/>
      <c r="D573" s="21"/>
      <c r="E573" s="21"/>
      <c r="F573" s="21"/>
    </row>
    <row r="574" spans="3:6" ht="12.5">
      <c r="C574" s="21"/>
      <c r="D574" s="21"/>
      <c r="E574" s="21"/>
      <c r="F574" s="21"/>
    </row>
    <row r="575" spans="3:6" ht="12.5">
      <c r="C575" s="21"/>
      <c r="D575" s="21"/>
      <c r="E575" s="21"/>
      <c r="F575" s="21"/>
    </row>
    <row r="576" spans="3:6" ht="12.5">
      <c r="C576" s="21"/>
      <c r="D576" s="21"/>
      <c r="E576" s="21"/>
      <c r="F576" s="21"/>
    </row>
    <row r="577" spans="3:6" ht="12.5">
      <c r="C577" s="21"/>
      <c r="D577" s="21"/>
      <c r="E577" s="21"/>
      <c r="F577" s="21"/>
    </row>
    <row r="578" spans="3:6" ht="12.5">
      <c r="C578" s="21"/>
      <c r="D578" s="21"/>
      <c r="E578" s="21"/>
      <c r="F578" s="21"/>
    </row>
    <row r="579" spans="3:6" ht="12.5">
      <c r="C579" s="21"/>
      <c r="D579" s="21"/>
      <c r="E579" s="21"/>
      <c r="F579" s="21"/>
    </row>
    <row r="580" spans="3:6" ht="12.5">
      <c r="C580" s="21"/>
      <c r="D580" s="21"/>
      <c r="E580" s="21"/>
      <c r="F580" s="21"/>
    </row>
    <row r="581" spans="3:6" ht="12.5">
      <c r="C581" s="21"/>
      <c r="D581" s="21"/>
      <c r="E581" s="21"/>
      <c r="F581" s="21"/>
    </row>
    <row r="582" spans="3:6" ht="12.5">
      <c r="C582" s="21"/>
      <c r="D582" s="21"/>
      <c r="E582" s="21"/>
      <c r="F582" s="21"/>
    </row>
    <row r="583" spans="3:6" ht="12.5">
      <c r="C583" s="21"/>
      <c r="D583" s="21"/>
      <c r="E583" s="21"/>
      <c r="F583" s="21"/>
    </row>
    <row r="584" spans="3:6" ht="12.5">
      <c r="C584" s="21"/>
      <c r="D584" s="21"/>
      <c r="E584" s="21"/>
      <c r="F584" s="21"/>
    </row>
    <row r="585" spans="3:6" ht="12.5">
      <c r="C585" s="21"/>
      <c r="D585" s="21"/>
      <c r="E585" s="21"/>
      <c r="F585" s="21"/>
    </row>
    <row r="586" spans="3:6" ht="12.5">
      <c r="C586" s="21"/>
      <c r="D586" s="21"/>
      <c r="E586" s="21"/>
      <c r="F586" s="21"/>
    </row>
    <row r="587" spans="3:6" ht="12.5">
      <c r="C587" s="21"/>
      <c r="D587" s="21"/>
      <c r="E587" s="21"/>
      <c r="F587" s="21"/>
    </row>
    <row r="588" spans="3:6" ht="12.5">
      <c r="C588" s="21"/>
      <c r="D588" s="21"/>
      <c r="E588" s="21"/>
      <c r="F588" s="21"/>
    </row>
    <row r="589" spans="3:6" ht="12.5">
      <c r="C589" s="21"/>
      <c r="D589" s="21"/>
      <c r="E589" s="21"/>
      <c r="F589" s="21"/>
    </row>
    <row r="590" spans="3:6" ht="12.5">
      <c r="C590" s="21"/>
      <c r="D590" s="21"/>
      <c r="E590" s="21"/>
      <c r="F590" s="21"/>
    </row>
    <row r="591" spans="3:6" ht="12.5">
      <c r="C591" s="21"/>
      <c r="D591" s="21"/>
      <c r="E591" s="21"/>
      <c r="F591" s="21"/>
    </row>
    <row r="592" spans="3:6" ht="12.5">
      <c r="C592" s="21"/>
      <c r="D592" s="21"/>
      <c r="E592" s="21"/>
      <c r="F592" s="21"/>
    </row>
    <row r="593" spans="3:6" ht="12.5">
      <c r="C593" s="21"/>
      <c r="D593" s="21"/>
      <c r="E593" s="21"/>
      <c r="F593" s="21"/>
    </row>
    <row r="594" spans="3:6" ht="12.5">
      <c r="C594" s="21"/>
      <c r="D594" s="21"/>
      <c r="E594" s="21"/>
      <c r="F594" s="21"/>
    </row>
    <row r="595" spans="3:6" ht="12.5">
      <c r="C595" s="21"/>
      <c r="D595" s="21"/>
      <c r="E595" s="21"/>
      <c r="F595" s="21"/>
    </row>
    <row r="596" spans="3:6" ht="12.5">
      <c r="C596" s="21"/>
      <c r="D596" s="21"/>
      <c r="E596" s="21"/>
      <c r="F596" s="21"/>
    </row>
    <row r="597" spans="3:6" ht="12.5">
      <c r="C597" s="21"/>
      <c r="D597" s="21"/>
      <c r="E597" s="21"/>
      <c r="F597" s="21"/>
    </row>
    <row r="598" spans="3:6" ht="12.5">
      <c r="C598" s="21"/>
      <c r="D598" s="21"/>
      <c r="E598" s="21"/>
      <c r="F598" s="21"/>
    </row>
    <row r="599" spans="3:6" ht="12.5">
      <c r="C599" s="21"/>
      <c r="D599" s="21"/>
      <c r="E599" s="21"/>
      <c r="F599" s="21"/>
    </row>
    <row r="600" spans="3:6" ht="12.5">
      <c r="C600" s="21"/>
      <c r="D600" s="21"/>
      <c r="E600" s="21"/>
      <c r="F600" s="21"/>
    </row>
    <row r="601" spans="3:6" ht="12.5">
      <c r="C601" s="21"/>
      <c r="D601" s="21"/>
      <c r="E601" s="21"/>
      <c r="F601" s="21"/>
    </row>
    <row r="602" spans="3:6" ht="12.5">
      <c r="C602" s="21"/>
      <c r="D602" s="21"/>
      <c r="E602" s="21"/>
      <c r="F602" s="21"/>
    </row>
    <row r="603" spans="3:6" ht="12.5">
      <c r="C603" s="21"/>
      <c r="D603" s="21"/>
      <c r="E603" s="21"/>
      <c r="F603" s="21"/>
    </row>
    <row r="604" spans="3:6" ht="12.5">
      <c r="C604" s="21"/>
      <c r="D604" s="21"/>
      <c r="E604" s="21"/>
      <c r="F604" s="21"/>
    </row>
    <row r="605" spans="3:6" ht="12.5">
      <c r="C605" s="21"/>
      <c r="D605" s="21"/>
      <c r="E605" s="21"/>
      <c r="F605" s="21"/>
    </row>
    <row r="606" spans="3:6" ht="12.5">
      <c r="C606" s="21"/>
      <c r="D606" s="21"/>
      <c r="E606" s="21"/>
      <c r="F606" s="21"/>
    </row>
    <row r="607" spans="3:6" ht="12.5">
      <c r="C607" s="21"/>
      <c r="D607" s="21"/>
      <c r="E607" s="21"/>
      <c r="F607" s="21"/>
    </row>
    <row r="608" spans="3:6" ht="12.5">
      <c r="C608" s="21"/>
      <c r="D608" s="21"/>
      <c r="E608" s="21"/>
      <c r="F608" s="21"/>
    </row>
    <row r="609" spans="3:6" ht="12.5">
      <c r="C609" s="21"/>
      <c r="D609" s="21"/>
      <c r="E609" s="21"/>
      <c r="F609" s="21"/>
    </row>
    <row r="610" spans="3:6" ht="12.5">
      <c r="C610" s="21"/>
      <c r="D610" s="21"/>
      <c r="E610" s="21"/>
      <c r="F610" s="21"/>
    </row>
    <row r="611" spans="3:6" ht="12.5">
      <c r="C611" s="21"/>
      <c r="D611" s="21"/>
      <c r="E611" s="21"/>
      <c r="F611" s="21"/>
    </row>
    <row r="612" spans="3:6" ht="12.5">
      <c r="C612" s="21"/>
      <c r="D612" s="21"/>
      <c r="E612" s="21"/>
      <c r="F612" s="21"/>
    </row>
    <row r="613" spans="3:6" ht="12.5">
      <c r="C613" s="21"/>
      <c r="D613" s="21"/>
      <c r="E613" s="21"/>
      <c r="F613" s="21"/>
    </row>
    <row r="614" spans="3:6" ht="12.5">
      <c r="C614" s="21"/>
      <c r="D614" s="21"/>
      <c r="E614" s="21"/>
      <c r="F614" s="21"/>
    </row>
    <row r="615" spans="3:6" ht="12.5">
      <c r="C615" s="21"/>
      <c r="D615" s="21"/>
      <c r="E615" s="21"/>
      <c r="F615" s="21"/>
    </row>
    <row r="616" spans="3:6" ht="12.5">
      <c r="C616" s="21"/>
      <c r="D616" s="21"/>
      <c r="E616" s="21"/>
      <c r="F616" s="21"/>
    </row>
    <row r="617" spans="3:6" ht="12.5">
      <c r="C617" s="21"/>
      <c r="D617" s="21"/>
      <c r="E617" s="21"/>
      <c r="F617" s="21"/>
    </row>
    <row r="618" spans="3:6" ht="12.5">
      <c r="C618" s="21"/>
      <c r="D618" s="21"/>
      <c r="E618" s="21"/>
      <c r="F618" s="21"/>
    </row>
    <row r="619" spans="3:6" ht="12.5">
      <c r="C619" s="21"/>
      <c r="D619" s="21"/>
      <c r="E619" s="21"/>
      <c r="F619" s="21"/>
    </row>
    <row r="620" spans="3:6" ht="12.5">
      <c r="C620" s="21"/>
      <c r="D620" s="21"/>
      <c r="E620" s="21"/>
      <c r="F620" s="21"/>
    </row>
    <row r="621" spans="3:6" ht="12.5">
      <c r="C621" s="21"/>
      <c r="D621" s="21"/>
      <c r="E621" s="21"/>
      <c r="F621" s="21"/>
    </row>
    <row r="622" spans="3:6" ht="12.5">
      <c r="C622" s="21"/>
      <c r="D622" s="21"/>
      <c r="E622" s="21"/>
      <c r="F622" s="21"/>
    </row>
    <row r="623" spans="3:6" ht="12.5">
      <c r="C623" s="21"/>
      <c r="D623" s="21"/>
      <c r="E623" s="21"/>
      <c r="F623" s="21"/>
    </row>
    <row r="624" spans="3:6" ht="12.5">
      <c r="C624" s="21"/>
      <c r="D624" s="21"/>
      <c r="E624" s="21"/>
      <c r="F624" s="21"/>
    </row>
    <row r="625" spans="3:6" ht="12.5">
      <c r="C625" s="21"/>
      <c r="D625" s="21"/>
      <c r="E625" s="21"/>
      <c r="F625" s="21"/>
    </row>
    <row r="626" spans="3:6" ht="12.5">
      <c r="C626" s="21"/>
      <c r="D626" s="21"/>
      <c r="E626" s="21"/>
      <c r="F626" s="21"/>
    </row>
    <row r="627" spans="3:6" ht="12.5">
      <c r="C627" s="21"/>
      <c r="D627" s="21"/>
      <c r="E627" s="21"/>
      <c r="F627" s="21"/>
    </row>
    <row r="628" spans="3:6" ht="12.5">
      <c r="C628" s="21"/>
      <c r="D628" s="21"/>
      <c r="E628" s="21"/>
      <c r="F628" s="21"/>
    </row>
    <row r="629" spans="3:6" ht="12.5">
      <c r="C629" s="21"/>
      <c r="D629" s="21"/>
      <c r="E629" s="21"/>
      <c r="F629" s="21"/>
    </row>
    <row r="630" spans="3:6" ht="12.5">
      <c r="C630" s="21"/>
      <c r="D630" s="21"/>
      <c r="E630" s="21"/>
      <c r="F630" s="21"/>
    </row>
    <row r="631" spans="3:6" ht="12.5">
      <c r="C631" s="21"/>
      <c r="D631" s="21"/>
      <c r="E631" s="21"/>
      <c r="F631" s="21"/>
    </row>
    <row r="632" spans="3:6" ht="12.5">
      <c r="C632" s="21"/>
      <c r="D632" s="21"/>
      <c r="E632" s="21"/>
      <c r="F632" s="21"/>
    </row>
    <row r="633" spans="3:6" ht="12.5">
      <c r="C633" s="21"/>
      <c r="D633" s="21"/>
      <c r="E633" s="21"/>
      <c r="F633" s="21"/>
    </row>
    <row r="634" spans="3:6" ht="12.5">
      <c r="C634" s="21"/>
      <c r="D634" s="21"/>
      <c r="E634" s="21"/>
      <c r="F634" s="21"/>
    </row>
    <row r="635" spans="3:6" ht="12.5">
      <c r="C635" s="21"/>
      <c r="D635" s="21"/>
      <c r="E635" s="21"/>
      <c r="F635" s="21"/>
    </row>
    <row r="636" spans="3:6" ht="12.5">
      <c r="C636" s="21"/>
      <c r="D636" s="21"/>
      <c r="E636" s="21"/>
      <c r="F636" s="21"/>
    </row>
    <row r="637" spans="3:6" ht="12.5">
      <c r="C637" s="21"/>
      <c r="D637" s="21"/>
      <c r="E637" s="21"/>
      <c r="F637" s="21"/>
    </row>
    <row r="638" spans="3:6" ht="12.5">
      <c r="C638" s="21"/>
      <c r="D638" s="21"/>
      <c r="E638" s="21"/>
      <c r="F638" s="21"/>
    </row>
    <row r="639" spans="3:6" ht="12.5">
      <c r="C639" s="21"/>
      <c r="D639" s="21"/>
      <c r="E639" s="21"/>
      <c r="F639" s="21"/>
    </row>
    <row r="640" spans="3:6" ht="12.5">
      <c r="C640" s="21"/>
      <c r="D640" s="21"/>
      <c r="E640" s="21"/>
      <c r="F640" s="21"/>
    </row>
    <row r="641" spans="3:6" ht="12.5">
      <c r="C641" s="21"/>
      <c r="D641" s="21"/>
      <c r="E641" s="21"/>
      <c r="F641" s="21"/>
    </row>
    <row r="642" spans="3:6" ht="12.5">
      <c r="C642" s="21"/>
      <c r="D642" s="21"/>
      <c r="E642" s="21"/>
      <c r="F642" s="21"/>
    </row>
    <row r="643" spans="3:6" ht="12.5">
      <c r="C643" s="21"/>
      <c r="D643" s="21"/>
      <c r="E643" s="21"/>
      <c r="F643" s="21"/>
    </row>
    <row r="644" spans="3:6" ht="12.5">
      <c r="C644" s="21"/>
      <c r="D644" s="21"/>
      <c r="E644" s="21"/>
      <c r="F644" s="21"/>
    </row>
    <row r="645" spans="3:6" ht="12.5">
      <c r="C645" s="21"/>
      <c r="D645" s="21"/>
      <c r="E645" s="21"/>
      <c r="F645" s="21"/>
    </row>
    <row r="646" spans="3:6" ht="12.5">
      <c r="C646" s="21"/>
      <c r="D646" s="21"/>
      <c r="E646" s="21"/>
      <c r="F646" s="21"/>
    </row>
    <row r="647" spans="3:6" ht="12.5">
      <c r="C647" s="21"/>
      <c r="D647" s="21"/>
      <c r="E647" s="21"/>
      <c r="F647" s="21"/>
    </row>
    <row r="648" spans="3:6" ht="12.5">
      <c r="C648" s="21"/>
      <c r="D648" s="21"/>
      <c r="E648" s="21"/>
      <c r="F648" s="21"/>
    </row>
    <row r="649" spans="3:6" ht="12.5">
      <c r="C649" s="21"/>
      <c r="D649" s="21"/>
      <c r="E649" s="21"/>
      <c r="F649" s="21"/>
    </row>
    <row r="650" spans="3:6" ht="12.5">
      <c r="C650" s="21"/>
      <c r="D650" s="21"/>
      <c r="E650" s="21"/>
      <c r="F650" s="21"/>
    </row>
    <row r="651" spans="3:6" ht="12.5">
      <c r="C651" s="21"/>
      <c r="D651" s="21"/>
      <c r="E651" s="21"/>
      <c r="F651" s="21"/>
    </row>
    <row r="652" spans="3:6" ht="12.5">
      <c r="C652" s="21"/>
      <c r="D652" s="21"/>
      <c r="E652" s="21"/>
      <c r="F652" s="21"/>
    </row>
    <row r="653" spans="3:6" ht="12.5">
      <c r="C653" s="21"/>
      <c r="D653" s="21"/>
      <c r="E653" s="21"/>
      <c r="F653" s="21"/>
    </row>
    <row r="654" spans="3:6" ht="12.5">
      <c r="C654" s="21"/>
      <c r="D654" s="21"/>
      <c r="E654" s="21"/>
      <c r="F654" s="21"/>
    </row>
    <row r="655" spans="3:6" ht="12.5">
      <c r="C655" s="21"/>
      <c r="D655" s="21"/>
      <c r="E655" s="21"/>
      <c r="F655" s="21"/>
    </row>
    <row r="656" spans="3:6" ht="12.5">
      <c r="C656" s="21"/>
      <c r="D656" s="21"/>
      <c r="E656" s="21"/>
      <c r="F656" s="21"/>
    </row>
    <row r="657" spans="3:6" ht="12.5">
      <c r="C657" s="21"/>
      <c r="D657" s="21"/>
      <c r="E657" s="21"/>
      <c r="F657" s="21"/>
    </row>
    <row r="658" spans="3:6" ht="12.5">
      <c r="C658" s="21"/>
      <c r="D658" s="21"/>
      <c r="E658" s="21"/>
      <c r="F658" s="21"/>
    </row>
    <row r="659" spans="3:6" ht="12.5">
      <c r="C659" s="21"/>
      <c r="D659" s="21"/>
      <c r="E659" s="21"/>
      <c r="F659" s="21"/>
    </row>
    <row r="660" spans="3:6" ht="12.5">
      <c r="C660" s="21"/>
      <c r="D660" s="21"/>
      <c r="E660" s="21"/>
      <c r="F660" s="21"/>
    </row>
    <row r="661" spans="3:6" ht="12.5">
      <c r="C661" s="21"/>
      <c r="D661" s="21"/>
      <c r="E661" s="21"/>
      <c r="F661" s="21"/>
    </row>
    <row r="662" spans="3:6" ht="12.5">
      <c r="C662" s="21"/>
      <c r="D662" s="21"/>
      <c r="E662" s="21"/>
      <c r="F662" s="21"/>
    </row>
    <row r="663" spans="3:6" ht="12.5">
      <c r="C663" s="21"/>
      <c r="D663" s="21"/>
      <c r="E663" s="21"/>
      <c r="F663" s="21"/>
    </row>
    <row r="664" spans="3:6" ht="12.5">
      <c r="C664" s="21"/>
      <c r="D664" s="21"/>
      <c r="E664" s="21"/>
      <c r="F664" s="21"/>
    </row>
    <row r="665" spans="3:6" ht="12.5">
      <c r="C665" s="21"/>
      <c r="D665" s="21"/>
      <c r="E665" s="21"/>
      <c r="F665" s="21"/>
    </row>
    <row r="666" spans="3:6" ht="12.5">
      <c r="C666" s="21"/>
      <c r="D666" s="21"/>
      <c r="E666" s="21"/>
      <c r="F666" s="21"/>
    </row>
    <row r="667" spans="3:6" ht="12.5">
      <c r="C667" s="21"/>
      <c r="D667" s="21"/>
      <c r="E667" s="21"/>
      <c r="F667" s="21"/>
    </row>
    <row r="668" spans="3:6" ht="12.5">
      <c r="C668" s="21"/>
      <c r="D668" s="21"/>
      <c r="E668" s="21"/>
      <c r="F668" s="21"/>
    </row>
    <row r="669" spans="3:6" ht="12.5">
      <c r="C669" s="21"/>
      <c r="D669" s="21"/>
      <c r="E669" s="21"/>
      <c r="F669" s="21"/>
    </row>
    <row r="670" spans="3:6" ht="12.5">
      <c r="C670" s="21"/>
      <c r="D670" s="21"/>
      <c r="E670" s="21"/>
      <c r="F670" s="21"/>
    </row>
    <row r="671" spans="3:6" ht="12.5">
      <c r="C671" s="21"/>
      <c r="D671" s="21"/>
      <c r="E671" s="21"/>
      <c r="F671" s="21"/>
    </row>
    <row r="672" spans="3:6" ht="12.5">
      <c r="C672" s="21"/>
      <c r="D672" s="21"/>
      <c r="E672" s="21"/>
      <c r="F672" s="21"/>
    </row>
    <row r="673" spans="3:6" ht="12.5">
      <c r="C673" s="21"/>
      <c r="D673" s="21"/>
      <c r="E673" s="21"/>
      <c r="F673" s="21"/>
    </row>
    <row r="674" spans="3:6" ht="12.5">
      <c r="C674" s="21"/>
      <c r="D674" s="21"/>
      <c r="E674" s="21"/>
      <c r="F674" s="21"/>
    </row>
    <row r="675" spans="3:6" ht="12.5">
      <c r="C675" s="21"/>
      <c r="D675" s="21"/>
      <c r="E675" s="21"/>
      <c r="F675" s="21"/>
    </row>
    <row r="676" spans="3:6" ht="12.5">
      <c r="C676" s="21"/>
      <c r="D676" s="21"/>
      <c r="E676" s="21"/>
      <c r="F676" s="21"/>
    </row>
    <row r="677" spans="3:6" ht="12.5">
      <c r="C677" s="21"/>
      <c r="D677" s="21"/>
      <c r="E677" s="21"/>
      <c r="F677" s="21"/>
    </row>
    <row r="678" spans="3:6" ht="12.5">
      <c r="C678" s="21"/>
      <c r="D678" s="21"/>
      <c r="E678" s="21"/>
      <c r="F678" s="21"/>
    </row>
    <row r="679" spans="3:6" ht="12.5">
      <c r="C679" s="21"/>
      <c r="D679" s="21"/>
      <c r="E679" s="21"/>
      <c r="F679" s="21"/>
    </row>
    <row r="680" spans="3:6" ht="12.5">
      <c r="C680" s="21"/>
      <c r="D680" s="21"/>
      <c r="E680" s="21"/>
      <c r="F680" s="21"/>
    </row>
    <row r="681" spans="3:6" ht="12.5">
      <c r="C681" s="21"/>
      <c r="D681" s="21"/>
      <c r="E681" s="21"/>
      <c r="F681" s="21"/>
    </row>
    <row r="682" spans="3:6" ht="12.5">
      <c r="C682" s="21"/>
      <c r="D682" s="21"/>
      <c r="E682" s="21"/>
      <c r="F682" s="21"/>
    </row>
    <row r="683" spans="3:6" ht="12.5">
      <c r="C683" s="21"/>
      <c r="D683" s="21"/>
      <c r="E683" s="21"/>
      <c r="F683" s="21"/>
    </row>
    <row r="684" spans="3:6" ht="12.5">
      <c r="C684" s="21"/>
      <c r="D684" s="21"/>
      <c r="E684" s="21"/>
      <c r="F684" s="21"/>
    </row>
    <row r="685" spans="3:6" ht="12.5">
      <c r="C685" s="21"/>
      <c r="D685" s="21"/>
      <c r="E685" s="21"/>
      <c r="F685" s="21"/>
    </row>
    <row r="686" spans="3:6" ht="12.5">
      <c r="C686" s="21"/>
      <c r="D686" s="21"/>
      <c r="E686" s="21"/>
      <c r="F686" s="21"/>
    </row>
    <row r="687" spans="3:6" ht="12.5">
      <c r="C687" s="21"/>
      <c r="D687" s="21"/>
      <c r="E687" s="21"/>
      <c r="F687" s="21"/>
    </row>
    <row r="688" spans="3:6" ht="12.5">
      <c r="C688" s="21"/>
      <c r="D688" s="21"/>
      <c r="E688" s="21"/>
      <c r="F688" s="21"/>
    </row>
    <row r="689" spans="3:6" ht="12.5">
      <c r="C689" s="21"/>
      <c r="D689" s="21"/>
      <c r="E689" s="21"/>
      <c r="F689" s="21"/>
    </row>
    <row r="690" spans="3:6" ht="12.5">
      <c r="C690" s="21"/>
      <c r="D690" s="21"/>
      <c r="E690" s="21"/>
      <c r="F690" s="21"/>
    </row>
    <row r="691" spans="3:6" ht="12.5">
      <c r="C691" s="21"/>
      <c r="D691" s="21"/>
      <c r="E691" s="21"/>
      <c r="F691" s="21"/>
    </row>
    <row r="692" spans="3:6" ht="12.5">
      <c r="C692" s="21"/>
      <c r="D692" s="21"/>
      <c r="E692" s="21"/>
      <c r="F692" s="21"/>
    </row>
    <row r="693" spans="3:6" ht="12.5">
      <c r="C693" s="21"/>
      <c r="D693" s="21"/>
      <c r="E693" s="21"/>
      <c r="F693" s="21"/>
    </row>
    <row r="694" spans="3:6" ht="12.5">
      <c r="C694" s="21"/>
      <c r="D694" s="21"/>
      <c r="E694" s="21"/>
      <c r="F694" s="21"/>
    </row>
    <row r="695" spans="3:6" ht="12.5">
      <c r="C695" s="21"/>
      <c r="D695" s="21"/>
      <c r="E695" s="21"/>
      <c r="F695" s="21"/>
    </row>
    <row r="696" spans="3:6" ht="12.5">
      <c r="C696" s="21"/>
      <c r="D696" s="21"/>
      <c r="E696" s="21"/>
      <c r="F696" s="21"/>
    </row>
    <row r="697" spans="3:6" ht="12.5">
      <c r="C697" s="21"/>
      <c r="D697" s="21"/>
      <c r="E697" s="21"/>
      <c r="F697" s="21"/>
    </row>
    <row r="698" spans="3:6" ht="12.5">
      <c r="C698" s="21"/>
      <c r="D698" s="21"/>
      <c r="E698" s="21"/>
      <c r="F698" s="21"/>
    </row>
    <row r="699" spans="3:6" ht="12.5">
      <c r="C699" s="21"/>
      <c r="D699" s="21"/>
      <c r="E699" s="21"/>
      <c r="F699" s="21"/>
    </row>
    <row r="700" spans="3:6" ht="12.5">
      <c r="C700" s="21"/>
      <c r="D700" s="21"/>
      <c r="E700" s="21"/>
      <c r="F700" s="21"/>
    </row>
    <row r="701" spans="3:6" ht="12.5">
      <c r="C701" s="21"/>
      <c r="D701" s="21"/>
      <c r="E701" s="21"/>
      <c r="F701" s="21"/>
    </row>
    <row r="702" spans="3:6" ht="12.5">
      <c r="C702" s="21"/>
      <c r="D702" s="21"/>
      <c r="E702" s="21"/>
      <c r="F702" s="21"/>
    </row>
    <row r="703" spans="3:6" ht="12.5">
      <c r="C703" s="21"/>
      <c r="D703" s="21"/>
      <c r="E703" s="21"/>
      <c r="F703" s="21"/>
    </row>
    <row r="704" spans="3:6" ht="12.5">
      <c r="C704" s="21"/>
      <c r="D704" s="21"/>
      <c r="E704" s="21"/>
      <c r="F704" s="21"/>
    </row>
    <row r="705" spans="3:6" ht="12.5">
      <c r="C705" s="21"/>
      <c r="D705" s="21"/>
      <c r="E705" s="21"/>
      <c r="F705" s="21"/>
    </row>
    <row r="706" spans="3:6" ht="12.5">
      <c r="C706" s="21"/>
      <c r="D706" s="21"/>
      <c r="E706" s="21"/>
      <c r="F706" s="21"/>
    </row>
    <row r="707" spans="3:6" ht="12.5">
      <c r="C707" s="21"/>
      <c r="D707" s="21"/>
      <c r="E707" s="21"/>
      <c r="F707" s="21"/>
    </row>
    <row r="708" spans="3:6" ht="12.5">
      <c r="C708" s="21"/>
      <c r="D708" s="21"/>
      <c r="E708" s="21"/>
      <c r="F708" s="21"/>
    </row>
    <row r="709" spans="3:6" ht="12.5">
      <c r="C709" s="21"/>
      <c r="D709" s="21"/>
      <c r="E709" s="21"/>
      <c r="F709" s="21"/>
    </row>
    <row r="710" spans="3:6" ht="12.5">
      <c r="C710" s="21"/>
      <c r="D710" s="21"/>
      <c r="E710" s="21"/>
      <c r="F710" s="21"/>
    </row>
    <row r="711" spans="3:6" ht="12.5">
      <c r="C711" s="21"/>
      <c r="D711" s="21"/>
      <c r="E711" s="21"/>
      <c r="F711" s="21"/>
    </row>
    <row r="712" spans="3:6" ht="12.5">
      <c r="C712" s="21"/>
      <c r="D712" s="21"/>
      <c r="E712" s="21"/>
      <c r="F712" s="21"/>
    </row>
    <row r="713" spans="3:6" ht="12.5">
      <c r="C713" s="21"/>
      <c r="D713" s="21"/>
      <c r="E713" s="21"/>
      <c r="F713" s="21"/>
    </row>
    <row r="714" spans="3:6" ht="12.5">
      <c r="C714" s="21"/>
      <c r="D714" s="21"/>
      <c r="E714" s="21"/>
      <c r="F714" s="21"/>
    </row>
    <row r="715" spans="3:6" ht="12.5">
      <c r="C715" s="21"/>
      <c r="D715" s="21"/>
      <c r="E715" s="21"/>
      <c r="F715" s="21"/>
    </row>
    <row r="716" spans="3:6" ht="12.5">
      <c r="C716" s="21"/>
      <c r="D716" s="21"/>
      <c r="E716" s="21"/>
      <c r="F716" s="21"/>
    </row>
    <row r="717" spans="3:6" ht="12.5">
      <c r="C717" s="21"/>
      <c r="D717" s="21"/>
      <c r="E717" s="21"/>
      <c r="F717" s="21"/>
    </row>
    <row r="718" spans="3:6" ht="12.5">
      <c r="C718" s="21"/>
      <c r="D718" s="21"/>
      <c r="E718" s="21"/>
      <c r="F718" s="21"/>
    </row>
    <row r="719" spans="3:6" ht="12.5">
      <c r="C719" s="21"/>
      <c r="D719" s="21"/>
      <c r="E719" s="21"/>
      <c r="F719" s="21"/>
    </row>
    <row r="720" spans="3:6" ht="12.5">
      <c r="C720" s="21"/>
      <c r="D720" s="21"/>
      <c r="E720" s="21"/>
      <c r="F720" s="21"/>
    </row>
    <row r="721" spans="3:6" ht="12.5">
      <c r="C721" s="21"/>
      <c r="D721" s="21"/>
      <c r="E721" s="21"/>
      <c r="F721" s="21"/>
    </row>
    <row r="722" spans="3:6" ht="12.5">
      <c r="C722" s="21"/>
      <c r="D722" s="21"/>
      <c r="E722" s="21"/>
      <c r="F722" s="21"/>
    </row>
    <row r="723" spans="3:6" ht="12.5">
      <c r="C723" s="21"/>
      <c r="D723" s="21"/>
      <c r="E723" s="21"/>
      <c r="F723" s="21"/>
    </row>
    <row r="724" spans="3:6" ht="12.5">
      <c r="C724" s="21"/>
      <c r="D724" s="21"/>
      <c r="E724" s="21"/>
      <c r="F724" s="21"/>
    </row>
    <row r="725" spans="3:6" ht="12.5">
      <c r="C725" s="21"/>
      <c r="D725" s="21"/>
      <c r="E725" s="21"/>
      <c r="F725" s="21"/>
    </row>
    <row r="726" spans="3:6" ht="12.5">
      <c r="C726" s="21"/>
      <c r="D726" s="21"/>
      <c r="E726" s="21"/>
      <c r="F726" s="21"/>
    </row>
    <row r="727" spans="3:6" ht="12.5">
      <c r="C727" s="21"/>
      <c r="D727" s="21"/>
      <c r="E727" s="21"/>
      <c r="F727" s="21"/>
    </row>
    <row r="728" spans="3:6" ht="12.5">
      <c r="C728" s="21"/>
      <c r="D728" s="21"/>
      <c r="E728" s="21"/>
      <c r="F728" s="21"/>
    </row>
    <row r="729" spans="3:6" ht="12.5">
      <c r="C729" s="21"/>
      <c r="D729" s="21"/>
      <c r="E729" s="21"/>
      <c r="F729" s="21"/>
    </row>
    <row r="730" spans="3:6" ht="12.5">
      <c r="C730" s="21"/>
      <c r="D730" s="21"/>
      <c r="E730" s="21"/>
      <c r="F730" s="21"/>
    </row>
    <row r="731" spans="3:6" ht="12.5">
      <c r="C731" s="21"/>
      <c r="D731" s="21"/>
      <c r="E731" s="21"/>
      <c r="F731" s="21"/>
    </row>
    <row r="732" spans="3:6" ht="12.5">
      <c r="C732" s="21"/>
      <c r="D732" s="21"/>
      <c r="E732" s="21"/>
      <c r="F732" s="21"/>
    </row>
    <row r="733" spans="3:6" ht="12.5">
      <c r="C733" s="21"/>
      <c r="D733" s="21"/>
      <c r="E733" s="21"/>
      <c r="F733" s="21"/>
    </row>
    <row r="734" spans="3:6" ht="12.5">
      <c r="C734" s="21"/>
      <c r="D734" s="21"/>
      <c r="E734" s="21"/>
      <c r="F734" s="21"/>
    </row>
    <row r="735" spans="3:6" ht="12.5">
      <c r="C735" s="21"/>
      <c r="D735" s="21"/>
      <c r="E735" s="21"/>
      <c r="F735" s="21"/>
    </row>
    <row r="736" spans="3:6" ht="12.5">
      <c r="C736" s="21"/>
      <c r="D736" s="21"/>
      <c r="E736" s="21"/>
      <c r="F736" s="21"/>
    </row>
    <row r="737" spans="3:6" ht="12.5">
      <c r="C737" s="21"/>
      <c r="D737" s="21"/>
      <c r="E737" s="21"/>
      <c r="F737" s="21"/>
    </row>
    <row r="738" spans="3:6" ht="12.5">
      <c r="C738" s="21"/>
      <c r="D738" s="21"/>
      <c r="E738" s="21"/>
      <c r="F738" s="21"/>
    </row>
    <row r="739" spans="3:6" ht="12.5">
      <c r="C739" s="21"/>
      <c r="D739" s="21"/>
      <c r="E739" s="21"/>
      <c r="F739" s="21"/>
    </row>
    <row r="740" spans="3:6" ht="12.5">
      <c r="C740" s="21"/>
      <c r="D740" s="21"/>
      <c r="E740" s="21"/>
      <c r="F740" s="21"/>
    </row>
    <row r="741" spans="3:6" ht="12.5">
      <c r="C741" s="21"/>
      <c r="D741" s="21"/>
      <c r="E741" s="21"/>
      <c r="F741" s="21"/>
    </row>
    <row r="742" spans="3:6" ht="12.5">
      <c r="C742" s="21"/>
      <c r="D742" s="21"/>
      <c r="E742" s="21"/>
      <c r="F742" s="21"/>
    </row>
    <row r="743" spans="3:6" ht="12.5">
      <c r="C743" s="21"/>
      <c r="D743" s="21"/>
      <c r="E743" s="21"/>
      <c r="F743" s="21"/>
    </row>
    <row r="744" spans="3:6" ht="12.5">
      <c r="C744" s="21"/>
      <c r="D744" s="21"/>
      <c r="E744" s="21"/>
      <c r="F744" s="21"/>
    </row>
    <row r="745" spans="3:6" ht="12.5">
      <c r="C745" s="21"/>
      <c r="D745" s="21"/>
      <c r="E745" s="21"/>
      <c r="F745" s="21"/>
    </row>
    <row r="746" spans="3:6" ht="12.5">
      <c r="C746" s="21"/>
      <c r="D746" s="21"/>
      <c r="E746" s="21"/>
      <c r="F746" s="21"/>
    </row>
    <row r="747" spans="3:6" ht="12.5">
      <c r="C747" s="21"/>
      <c r="D747" s="21"/>
      <c r="E747" s="21"/>
      <c r="F747" s="21"/>
    </row>
    <row r="748" spans="3:6" ht="12.5">
      <c r="C748" s="21"/>
      <c r="D748" s="21"/>
      <c r="E748" s="21"/>
      <c r="F748" s="21"/>
    </row>
    <row r="749" spans="3:6" ht="12.5">
      <c r="C749" s="21"/>
      <c r="D749" s="21"/>
      <c r="E749" s="21"/>
      <c r="F749" s="21"/>
    </row>
    <row r="750" spans="3:6" ht="12.5">
      <c r="C750" s="21"/>
      <c r="D750" s="21"/>
      <c r="E750" s="21"/>
      <c r="F750" s="21"/>
    </row>
    <row r="751" spans="3:6" ht="12.5">
      <c r="C751" s="21"/>
      <c r="D751" s="21"/>
      <c r="E751" s="21"/>
      <c r="F751" s="21"/>
    </row>
    <row r="752" spans="3:6" ht="12.5">
      <c r="C752" s="21"/>
      <c r="D752" s="21"/>
      <c r="E752" s="21"/>
      <c r="F752" s="21"/>
    </row>
    <row r="753" spans="3:6" ht="12.5">
      <c r="C753" s="21"/>
      <c r="D753" s="21"/>
      <c r="E753" s="21"/>
      <c r="F753" s="21"/>
    </row>
    <row r="754" spans="3:6" ht="12.5">
      <c r="C754" s="21"/>
      <c r="D754" s="21"/>
      <c r="E754" s="21"/>
      <c r="F754" s="21"/>
    </row>
    <row r="755" spans="3:6" ht="12.5">
      <c r="C755" s="21"/>
      <c r="D755" s="21"/>
      <c r="E755" s="21"/>
      <c r="F755" s="21"/>
    </row>
    <row r="756" spans="3:6" ht="12.5">
      <c r="C756" s="21"/>
      <c r="D756" s="21"/>
      <c r="E756" s="21"/>
      <c r="F756" s="21"/>
    </row>
    <row r="757" spans="3:6" ht="12.5">
      <c r="C757" s="21"/>
      <c r="D757" s="21"/>
      <c r="E757" s="21"/>
      <c r="F757" s="21"/>
    </row>
    <row r="758" spans="3:6" ht="12.5">
      <c r="C758" s="21"/>
      <c r="D758" s="21"/>
      <c r="E758" s="21"/>
      <c r="F758" s="21"/>
    </row>
    <row r="759" spans="3:6" ht="12.5">
      <c r="C759" s="21"/>
      <c r="D759" s="21"/>
      <c r="E759" s="21"/>
      <c r="F759" s="21"/>
    </row>
    <row r="760" spans="3:6" ht="12.5">
      <c r="C760" s="21"/>
      <c r="D760" s="21"/>
      <c r="E760" s="21"/>
      <c r="F760" s="21"/>
    </row>
    <row r="761" spans="3:6" ht="12.5">
      <c r="C761" s="21"/>
      <c r="D761" s="21"/>
      <c r="E761" s="21"/>
      <c r="F761" s="21"/>
    </row>
    <row r="762" spans="3:6" ht="12.5">
      <c r="C762" s="21"/>
      <c r="D762" s="21"/>
      <c r="E762" s="21"/>
      <c r="F762" s="21"/>
    </row>
    <row r="763" spans="3:6" ht="12.5">
      <c r="C763" s="21"/>
      <c r="D763" s="21"/>
      <c r="E763" s="21"/>
      <c r="F763" s="21"/>
    </row>
    <row r="764" spans="3:6" ht="12.5">
      <c r="C764" s="21"/>
      <c r="D764" s="21"/>
      <c r="E764" s="21"/>
      <c r="F764" s="21"/>
    </row>
    <row r="765" spans="3:6" ht="12.5">
      <c r="C765" s="21"/>
      <c r="D765" s="21"/>
      <c r="E765" s="21"/>
      <c r="F765" s="21"/>
    </row>
    <row r="766" spans="3:6" ht="12.5">
      <c r="C766" s="21"/>
      <c r="D766" s="21"/>
      <c r="E766" s="21"/>
      <c r="F766" s="21"/>
    </row>
    <row r="767" spans="3:6" ht="12.5">
      <c r="C767" s="21"/>
      <c r="D767" s="21"/>
      <c r="E767" s="21"/>
      <c r="F767" s="21"/>
    </row>
    <row r="768" spans="3:6" ht="12.5">
      <c r="C768" s="21"/>
      <c r="D768" s="21"/>
      <c r="E768" s="21"/>
      <c r="F768" s="21"/>
    </row>
    <row r="769" spans="3:6" ht="12.5">
      <c r="C769" s="21"/>
      <c r="D769" s="21"/>
      <c r="E769" s="21"/>
      <c r="F769" s="21"/>
    </row>
    <row r="770" spans="3:6" ht="12.5">
      <c r="C770" s="21"/>
      <c r="D770" s="21"/>
      <c r="E770" s="21"/>
      <c r="F770" s="21"/>
    </row>
    <row r="771" spans="3:6" ht="12.5">
      <c r="C771" s="21"/>
      <c r="D771" s="21"/>
      <c r="E771" s="21"/>
      <c r="F771" s="21"/>
    </row>
    <row r="772" spans="3:6" ht="12.5">
      <c r="C772" s="21"/>
      <c r="D772" s="21"/>
      <c r="E772" s="21"/>
      <c r="F772" s="21"/>
    </row>
    <row r="773" spans="3:6" ht="12.5">
      <c r="C773" s="21"/>
      <c r="D773" s="21"/>
      <c r="E773" s="21"/>
      <c r="F773" s="21"/>
    </row>
    <row r="774" spans="3:6" ht="12.5">
      <c r="C774" s="21"/>
      <c r="D774" s="21"/>
      <c r="E774" s="21"/>
      <c r="F774" s="21"/>
    </row>
    <row r="775" spans="3:6" ht="12.5">
      <c r="C775" s="21"/>
      <c r="D775" s="21"/>
      <c r="E775" s="21"/>
      <c r="F775" s="21"/>
    </row>
    <row r="776" spans="3:6" ht="12.5">
      <c r="C776" s="21"/>
      <c r="D776" s="21"/>
      <c r="E776" s="21"/>
      <c r="F776" s="21"/>
    </row>
    <row r="777" spans="3:6" ht="12.5">
      <c r="C777" s="21"/>
      <c r="D777" s="21"/>
      <c r="E777" s="21"/>
      <c r="F777" s="21"/>
    </row>
    <row r="778" spans="3:6" ht="12.5">
      <c r="C778" s="21"/>
      <c r="D778" s="21"/>
      <c r="E778" s="21"/>
      <c r="F778" s="21"/>
    </row>
    <row r="779" spans="3:6" ht="12.5">
      <c r="C779" s="21"/>
      <c r="D779" s="21"/>
      <c r="E779" s="21"/>
      <c r="F779" s="21"/>
    </row>
    <row r="780" spans="3:6" ht="12.5">
      <c r="C780" s="21"/>
      <c r="D780" s="21"/>
      <c r="E780" s="21"/>
      <c r="F780" s="21"/>
    </row>
    <row r="781" spans="3:6" ht="12.5">
      <c r="C781" s="21"/>
      <c r="D781" s="21"/>
      <c r="E781" s="21"/>
      <c r="F781" s="21"/>
    </row>
    <row r="782" spans="3:6" ht="12.5">
      <c r="C782" s="21"/>
      <c r="D782" s="21"/>
      <c r="E782" s="21"/>
      <c r="F782" s="21"/>
    </row>
    <row r="783" spans="3:6" ht="12.5">
      <c r="C783" s="21"/>
      <c r="D783" s="21"/>
      <c r="E783" s="21"/>
      <c r="F783" s="21"/>
    </row>
    <row r="784" spans="3:6" ht="12.5">
      <c r="C784" s="21"/>
      <c r="D784" s="21"/>
      <c r="E784" s="21"/>
      <c r="F784" s="21"/>
    </row>
    <row r="785" spans="3:6" ht="12.5">
      <c r="C785" s="21"/>
      <c r="D785" s="21"/>
      <c r="E785" s="21"/>
      <c r="F785" s="21"/>
    </row>
    <row r="786" spans="3:6" ht="12.5">
      <c r="C786" s="21"/>
      <c r="D786" s="21"/>
      <c r="E786" s="21"/>
      <c r="F786" s="21"/>
    </row>
    <row r="787" spans="3:6" ht="12.5">
      <c r="C787" s="21"/>
      <c r="D787" s="21"/>
      <c r="E787" s="21"/>
      <c r="F787" s="21"/>
    </row>
    <row r="788" spans="3:6" ht="12.5">
      <c r="C788" s="21"/>
      <c r="D788" s="21"/>
      <c r="E788" s="21"/>
      <c r="F788" s="21"/>
    </row>
    <row r="789" spans="3:6" ht="12.5">
      <c r="C789" s="21"/>
      <c r="D789" s="21"/>
      <c r="E789" s="21"/>
      <c r="F789" s="21"/>
    </row>
    <row r="790" spans="3:6" ht="12.5">
      <c r="C790" s="21"/>
      <c r="D790" s="21"/>
      <c r="E790" s="21"/>
      <c r="F790" s="21"/>
    </row>
    <row r="791" spans="3:6" ht="12.5">
      <c r="C791" s="21"/>
      <c r="D791" s="21"/>
      <c r="E791" s="21"/>
      <c r="F791" s="21"/>
    </row>
    <row r="792" spans="3:6" ht="12.5">
      <c r="C792" s="21"/>
      <c r="D792" s="21"/>
      <c r="E792" s="21"/>
      <c r="F792" s="21"/>
    </row>
    <row r="793" spans="3:6" ht="12.5">
      <c r="C793" s="21"/>
      <c r="D793" s="21"/>
      <c r="E793" s="21"/>
      <c r="F793" s="21"/>
    </row>
    <row r="794" spans="3:6" ht="12.5">
      <c r="C794" s="21"/>
      <c r="D794" s="21"/>
      <c r="E794" s="21"/>
      <c r="F794" s="21"/>
    </row>
    <row r="795" spans="3:6" ht="12.5">
      <c r="C795" s="21"/>
      <c r="D795" s="21"/>
      <c r="E795" s="21"/>
      <c r="F795" s="21"/>
    </row>
    <row r="796" spans="3:6" ht="12.5">
      <c r="C796" s="21"/>
      <c r="D796" s="21"/>
      <c r="E796" s="21"/>
      <c r="F796" s="21"/>
    </row>
    <row r="797" spans="3:6" ht="12.5">
      <c r="C797" s="21"/>
      <c r="D797" s="21"/>
      <c r="E797" s="21"/>
      <c r="F797" s="21"/>
    </row>
    <row r="798" spans="3:6" ht="12.5">
      <c r="C798" s="21"/>
      <c r="D798" s="21"/>
      <c r="E798" s="21"/>
      <c r="F798" s="21"/>
    </row>
    <row r="799" spans="3:6" ht="12.5">
      <c r="C799" s="21"/>
      <c r="D799" s="21"/>
      <c r="E799" s="21"/>
      <c r="F799" s="21"/>
    </row>
    <row r="800" spans="3:6" ht="12.5">
      <c r="C800" s="21"/>
      <c r="D800" s="21"/>
      <c r="E800" s="21"/>
      <c r="F800" s="21"/>
    </row>
    <row r="801" spans="3:6" ht="12.5">
      <c r="C801" s="21"/>
      <c r="D801" s="21"/>
      <c r="E801" s="21"/>
      <c r="F801" s="21"/>
    </row>
    <row r="802" spans="3:6" ht="12.5">
      <c r="C802" s="21"/>
      <c r="D802" s="21"/>
      <c r="E802" s="21"/>
      <c r="F802" s="21"/>
    </row>
    <row r="803" spans="3:6" ht="12.5">
      <c r="C803" s="21"/>
      <c r="D803" s="21"/>
      <c r="E803" s="21"/>
      <c r="F803" s="21"/>
    </row>
    <row r="804" spans="3:6" ht="12.5">
      <c r="C804" s="21"/>
      <c r="D804" s="21"/>
      <c r="E804" s="21"/>
      <c r="F804" s="21"/>
    </row>
    <row r="805" spans="3:6" ht="12.5">
      <c r="C805" s="21"/>
      <c r="D805" s="21"/>
      <c r="E805" s="21"/>
      <c r="F805" s="21"/>
    </row>
    <row r="806" spans="3:6" ht="12.5">
      <c r="C806" s="21"/>
      <c r="D806" s="21"/>
      <c r="E806" s="21"/>
      <c r="F806" s="21"/>
    </row>
    <row r="807" spans="3:6" ht="12.5">
      <c r="C807" s="21"/>
      <c r="D807" s="21"/>
      <c r="E807" s="21"/>
      <c r="F807" s="21"/>
    </row>
    <row r="808" spans="3:6" ht="12.5">
      <c r="C808" s="21"/>
      <c r="D808" s="21"/>
      <c r="E808" s="21"/>
      <c r="F808" s="21"/>
    </row>
    <row r="809" spans="3:6" ht="12.5">
      <c r="C809" s="21"/>
      <c r="D809" s="21"/>
      <c r="E809" s="21"/>
      <c r="F809" s="21"/>
    </row>
    <row r="810" spans="3:6" ht="12.5">
      <c r="C810" s="21"/>
      <c r="D810" s="21"/>
      <c r="E810" s="21"/>
      <c r="F810" s="21"/>
    </row>
    <row r="811" spans="3:6" ht="12.5">
      <c r="C811" s="21"/>
      <c r="D811" s="21"/>
      <c r="E811" s="21"/>
      <c r="F811" s="21"/>
    </row>
    <row r="812" spans="3:6" ht="12.5">
      <c r="C812" s="21"/>
      <c r="D812" s="21"/>
      <c r="E812" s="21"/>
      <c r="F812" s="21"/>
    </row>
    <row r="813" spans="3:6" ht="12.5">
      <c r="C813" s="21"/>
      <c r="D813" s="21"/>
      <c r="E813" s="21"/>
      <c r="F813" s="21"/>
    </row>
    <row r="814" spans="3:6" ht="12.5">
      <c r="C814" s="21"/>
      <c r="D814" s="21"/>
      <c r="E814" s="21"/>
      <c r="F814" s="21"/>
    </row>
    <row r="815" spans="3:6" ht="12.5">
      <c r="C815" s="21"/>
      <c r="D815" s="21"/>
      <c r="E815" s="21"/>
      <c r="F815" s="21"/>
    </row>
    <row r="816" spans="3:6" ht="12.5">
      <c r="C816" s="21"/>
      <c r="D816" s="21"/>
      <c r="E816" s="21"/>
      <c r="F816" s="21"/>
    </row>
    <row r="817" spans="3:6" ht="12.5">
      <c r="C817" s="21"/>
      <c r="D817" s="21"/>
      <c r="E817" s="21"/>
      <c r="F817" s="21"/>
    </row>
    <row r="818" spans="3:6" ht="12.5">
      <c r="C818" s="21"/>
      <c r="D818" s="21"/>
      <c r="E818" s="21"/>
      <c r="F818" s="21"/>
    </row>
    <row r="819" spans="3:6" ht="12.5">
      <c r="C819" s="21"/>
      <c r="D819" s="21"/>
      <c r="E819" s="21"/>
      <c r="F819" s="21"/>
    </row>
    <row r="820" spans="3:6" ht="12.5">
      <c r="C820" s="21"/>
      <c r="D820" s="21"/>
      <c r="E820" s="21"/>
      <c r="F820" s="21"/>
    </row>
    <row r="821" spans="3:6" ht="12.5">
      <c r="C821" s="21"/>
      <c r="D821" s="21"/>
      <c r="E821" s="21"/>
      <c r="F821" s="21"/>
    </row>
    <row r="822" spans="3:6" ht="12.5">
      <c r="C822" s="21"/>
      <c r="D822" s="21"/>
      <c r="E822" s="21"/>
      <c r="F822" s="21"/>
    </row>
    <row r="823" spans="3:6" ht="12.5">
      <c r="C823" s="21"/>
      <c r="D823" s="21"/>
      <c r="E823" s="21"/>
      <c r="F823" s="21"/>
    </row>
    <row r="824" spans="3:6" ht="12.5">
      <c r="C824" s="21"/>
      <c r="D824" s="21"/>
      <c r="E824" s="21"/>
      <c r="F824" s="21"/>
    </row>
    <row r="825" spans="3:6" ht="12.5">
      <c r="C825" s="21"/>
      <c r="D825" s="21"/>
      <c r="E825" s="21"/>
      <c r="F825" s="21"/>
    </row>
    <row r="826" spans="3:6" ht="12.5">
      <c r="C826" s="21"/>
      <c r="D826" s="21"/>
      <c r="E826" s="21"/>
      <c r="F826" s="21"/>
    </row>
    <row r="827" spans="3:6" ht="12.5">
      <c r="C827" s="21"/>
      <c r="D827" s="21"/>
      <c r="E827" s="21"/>
      <c r="F827" s="21"/>
    </row>
    <row r="828" spans="3:6" ht="12.5">
      <c r="C828" s="21"/>
      <c r="D828" s="21"/>
      <c r="E828" s="21"/>
      <c r="F828" s="21"/>
    </row>
    <row r="829" spans="3:6" ht="12.5">
      <c r="C829" s="21"/>
      <c r="D829" s="21"/>
      <c r="E829" s="21"/>
      <c r="F829" s="21"/>
    </row>
    <row r="830" spans="3:6" ht="12.5">
      <c r="C830" s="21"/>
      <c r="D830" s="21"/>
      <c r="E830" s="21"/>
      <c r="F830" s="21"/>
    </row>
    <row r="831" spans="3:6" ht="12.5">
      <c r="C831" s="21"/>
      <c r="D831" s="21"/>
      <c r="E831" s="21"/>
      <c r="F831" s="21"/>
    </row>
    <row r="832" spans="3:6" ht="12.5">
      <c r="C832" s="21"/>
      <c r="D832" s="21"/>
      <c r="E832" s="21"/>
      <c r="F832" s="21"/>
    </row>
    <row r="833" spans="3:6" ht="12.5">
      <c r="C833" s="21"/>
      <c r="D833" s="21"/>
      <c r="E833" s="21"/>
      <c r="F833" s="21"/>
    </row>
    <row r="834" spans="3:6" ht="12.5">
      <c r="C834" s="21"/>
      <c r="D834" s="21"/>
      <c r="E834" s="21"/>
      <c r="F834" s="21"/>
    </row>
    <row r="835" spans="3:6" ht="12.5">
      <c r="C835" s="21"/>
      <c r="D835" s="21"/>
      <c r="E835" s="21"/>
      <c r="F835" s="21"/>
    </row>
    <row r="836" spans="3:6" ht="12.5">
      <c r="C836" s="21"/>
      <c r="D836" s="21"/>
      <c r="E836" s="21"/>
      <c r="F836" s="21"/>
    </row>
    <row r="837" spans="3:6" ht="12.5">
      <c r="C837" s="21"/>
      <c r="D837" s="21"/>
      <c r="E837" s="21"/>
      <c r="F837" s="21"/>
    </row>
    <row r="838" spans="3:6" ht="12.5">
      <c r="C838" s="21"/>
      <c r="D838" s="21"/>
      <c r="E838" s="21"/>
      <c r="F838" s="21"/>
    </row>
    <row r="839" spans="3:6" ht="12.5">
      <c r="C839" s="21"/>
      <c r="D839" s="21"/>
      <c r="E839" s="21"/>
      <c r="F839" s="21"/>
    </row>
    <row r="840" spans="3:6" ht="12.5">
      <c r="C840" s="21"/>
      <c r="D840" s="21"/>
      <c r="E840" s="21"/>
      <c r="F840" s="21"/>
    </row>
    <row r="841" spans="3:6" ht="12.5">
      <c r="C841" s="21"/>
      <c r="D841" s="21"/>
      <c r="E841" s="21"/>
      <c r="F841" s="21"/>
    </row>
    <row r="842" spans="3:6" ht="12.5">
      <c r="C842" s="21"/>
      <c r="D842" s="21"/>
      <c r="E842" s="21"/>
      <c r="F842" s="21"/>
    </row>
    <row r="843" spans="3:6" ht="12.5">
      <c r="C843" s="21"/>
      <c r="D843" s="21"/>
      <c r="E843" s="21"/>
      <c r="F843" s="21"/>
    </row>
    <row r="844" spans="3:6" ht="12.5">
      <c r="C844" s="21"/>
      <c r="D844" s="21"/>
      <c r="E844" s="21"/>
      <c r="F844" s="21"/>
    </row>
    <row r="845" spans="3:6" ht="12.5">
      <c r="C845" s="21"/>
      <c r="D845" s="21"/>
      <c r="E845" s="21"/>
      <c r="F845" s="21"/>
    </row>
    <row r="846" spans="3:6" ht="12.5">
      <c r="C846" s="21"/>
      <c r="D846" s="21"/>
      <c r="E846" s="21"/>
      <c r="F846" s="21"/>
    </row>
    <row r="847" spans="3:6" ht="12.5">
      <c r="C847" s="21"/>
      <c r="D847" s="21"/>
      <c r="E847" s="21"/>
      <c r="F847" s="21"/>
    </row>
    <row r="848" spans="3:6" ht="12.5">
      <c r="C848" s="21"/>
      <c r="D848" s="21"/>
      <c r="E848" s="21"/>
      <c r="F848" s="21"/>
    </row>
    <row r="849" spans="3:6" ht="12.5">
      <c r="C849" s="21"/>
      <c r="D849" s="21"/>
      <c r="E849" s="21"/>
      <c r="F849" s="21"/>
    </row>
    <row r="850" spans="3:6" ht="12.5">
      <c r="C850" s="21"/>
      <c r="D850" s="21"/>
      <c r="E850" s="21"/>
      <c r="F850" s="21"/>
    </row>
    <row r="851" spans="3:6" ht="12.5">
      <c r="C851" s="21"/>
      <c r="D851" s="21"/>
      <c r="E851" s="21"/>
      <c r="F851" s="21"/>
    </row>
    <row r="852" spans="3:6" ht="12.5">
      <c r="C852" s="21"/>
      <c r="D852" s="21"/>
      <c r="E852" s="21"/>
      <c r="F852" s="21"/>
    </row>
    <row r="853" spans="3:6" ht="12.5">
      <c r="C853" s="21"/>
      <c r="D853" s="21"/>
      <c r="E853" s="21"/>
      <c r="F853" s="21"/>
    </row>
    <row r="854" spans="3:6" ht="12.5">
      <c r="C854" s="21"/>
      <c r="D854" s="21"/>
      <c r="E854" s="21"/>
      <c r="F854" s="21"/>
    </row>
    <row r="855" spans="3:6" ht="12.5">
      <c r="C855" s="21"/>
      <c r="D855" s="21"/>
      <c r="E855" s="21"/>
      <c r="F855" s="21"/>
    </row>
    <row r="856" spans="3:6" ht="12.5">
      <c r="C856" s="21"/>
      <c r="D856" s="21"/>
      <c r="E856" s="21"/>
      <c r="F856" s="21"/>
    </row>
    <row r="857" spans="3:6" ht="12.5">
      <c r="C857" s="21"/>
      <c r="D857" s="21"/>
      <c r="E857" s="21"/>
      <c r="F857" s="21"/>
    </row>
    <row r="858" spans="3:6" ht="12.5">
      <c r="C858" s="21"/>
      <c r="D858" s="21"/>
      <c r="E858" s="21"/>
      <c r="F858" s="21"/>
    </row>
    <row r="859" spans="3:6" ht="12.5">
      <c r="C859" s="21"/>
      <c r="D859" s="21"/>
      <c r="E859" s="21"/>
      <c r="F859" s="21"/>
    </row>
    <row r="860" spans="3:6" ht="12.5">
      <c r="C860" s="21"/>
      <c r="D860" s="21"/>
      <c r="E860" s="21"/>
      <c r="F860" s="21"/>
    </row>
    <row r="861" spans="3:6" ht="12.5">
      <c r="C861" s="21"/>
      <c r="D861" s="21"/>
      <c r="E861" s="21"/>
      <c r="F861" s="21"/>
    </row>
    <row r="862" spans="3:6" ht="12.5">
      <c r="C862" s="21"/>
      <c r="D862" s="21"/>
      <c r="E862" s="21"/>
      <c r="F862" s="21"/>
    </row>
    <row r="863" spans="3:6" ht="12.5">
      <c r="C863" s="21"/>
      <c r="D863" s="21"/>
      <c r="E863" s="21"/>
      <c r="F863" s="21"/>
    </row>
    <row r="864" spans="3:6" ht="12.5">
      <c r="C864" s="21"/>
      <c r="D864" s="21"/>
      <c r="E864" s="21"/>
      <c r="F864" s="21"/>
    </row>
    <row r="865" spans="3:6" ht="12.5">
      <c r="C865" s="21"/>
      <c r="D865" s="21"/>
      <c r="E865" s="21"/>
      <c r="F865" s="21"/>
    </row>
    <row r="866" spans="3:6" ht="12.5">
      <c r="C866" s="21"/>
      <c r="D866" s="21"/>
      <c r="E866" s="21"/>
      <c r="F866" s="21"/>
    </row>
    <row r="867" spans="3:6" ht="12.5">
      <c r="C867" s="21"/>
      <c r="D867" s="21"/>
      <c r="E867" s="21"/>
      <c r="F867" s="21"/>
    </row>
    <row r="868" spans="3:6" ht="12.5">
      <c r="C868" s="21"/>
      <c r="D868" s="21"/>
      <c r="E868" s="21"/>
      <c r="F868" s="21"/>
    </row>
    <row r="869" spans="3:6" ht="12.5">
      <c r="C869" s="21"/>
      <c r="D869" s="21"/>
      <c r="E869" s="21"/>
      <c r="F869" s="21"/>
    </row>
    <row r="870" spans="3:6" ht="12.5">
      <c r="C870" s="21"/>
      <c r="D870" s="21"/>
      <c r="E870" s="21"/>
      <c r="F870" s="21"/>
    </row>
    <row r="871" spans="3:6" ht="12.5">
      <c r="C871" s="21"/>
      <c r="D871" s="21"/>
      <c r="E871" s="21"/>
      <c r="F871" s="21"/>
    </row>
    <row r="872" spans="3:6" ht="12.5">
      <c r="C872" s="21"/>
      <c r="D872" s="21"/>
      <c r="E872" s="21"/>
      <c r="F872" s="21"/>
    </row>
    <row r="873" spans="3:6" ht="12.5">
      <c r="C873" s="21"/>
      <c r="D873" s="21"/>
      <c r="E873" s="21"/>
      <c r="F873" s="21"/>
    </row>
    <row r="874" spans="3:6" ht="12.5">
      <c r="C874" s="21"/>
      <c r="D874" s="21"/>
      <c r="E874" s="21"/>
      <c r="F874" s="21"/>
    </row>
    <row r="875" spans="3:6" ht="12.5">
      <c r="C875" s="21"/>
      <c r="D875" s="21"/>
      <c r="E875" s="21"/>
      <c r="F875" s="21"/>
    </row>
    <row r="876" spans="3:6" ht="12.5">
      <c r="C876" s="21"/>
      <c r="D876" s="21"/>
      <c r="E876" s="21"/>
      <c r="F876" s="21"/>
    </row>
    <row r="877" spans="3:6" ht="12.5">
      <c r="C877" s="21"/>
      <c r="D877" s="21"/>
      <c r="E877" s="21"/>
      <c r="F877" s="21"/>
    </row>
    <row r="878" spans="3:6" ht="12.5">
      <c r="C878" s="21"/>
      <c r="D878" s="21"/>
      <c r="E878" s="21"/>
      <c r="F878" s="21"/>
    </row>
    <row r="879" spans="3:6" ht="12.5">
      <c r="C879" s="21"/>
      <c r="D879" s="21"/>
      <c r="E879" s="21"/>
      <c r="F879" s="21"/>
    </row>
    <row r="880" spans="3:6" ht="12.5">
      <c r="C880" s="21"/>
      <c r="D880" s="21"/>
      <c r="E880" s="21"/>
      <c r="F880" s="21"/>
    </row>
    <row r="881" spans="3:6" ht="12.5">
      <c r="C881" s="21"/>
      <c r="D881" s="21"/>
      <c r="E881" s="21"/>
      <c r="F881" s="21"/>
    </row>
    <row r="882" spans="3:6" ht="12.5">
      <c r="C882" s="21"/>
      <c r="D882" s="21"/>
      <c r="E882" s="21"/>
      <c r="F882" s="21"/>
    </row>
    <row r="883" spans="3:6" ht="12.5">
      <c r="C883" s="21"/>
      <c r="D883" s="21"/>
      <c r="E883" s="21"/>
      <c r="F883" s="21"/>
    </row>
    <row r="884" spans="3:6" ht="12.5">
      <c r="C884" s="21"/>
      <c r="D884" s="21"/>
      <c r="E884" s="21"/>
      <c r="F884" s="21"/>
    </row>
    <row r="885" spans="3:6" ht="12.5">
      <c r="C885" s="21"/>
      <c r="D885" s="21"/>
      <c r="E885" s="21"/>
      <c r="F885" s="21"/>
    </row>
    <row r="886" spans="3:6" ht="12.5">
      <c r="C886" s="21"/>
      <c r="D886" s="21"/>
      <c r="E886" s="21"/>
      <c r="F886" s="21"/>
    </row>
    <row r="887" spans="3:6" ht="12.5">
      <c r="C887" s="21"/>
      <c r="D887" s="21"/>
      <c r="E887" s="21"/>
      <c r="F887" s="21"/>
    </row>
    <row r="888" spans="3:6" ht="12.5">
      <c r="C888" s="21"/>
      <c r="D888" s="21"/>
      <c r="E888" s="21"/>
      <c r="F888" s="21"/>
    </row>
    <row r="889" spans="3:6" ht="12.5">
      <c r="C889" s="21"/>
      <c r="D889" s="21"/>
      <c r="E889" s="21"/>
      <c r="F889" s="21"/>
    </row>
    <row r="890" spans="3:6" ht="12.5">
      <c r="C890" s="21"/>
      <c r="D890" s="21"/>
      <c r="E890" s="21"/>
      <c r="F890" s="21"/>
    </row>
    <row r="891" spans="3:6" ht="12.5">
      <c r="C891" s="21"/>
      <c r="D891" s="21"/>
      <c r="E891" s="21"/>
      <c r="F891" s="21"/>
    </row>
    <row r="892" spans="3:6" ht="12.5">
      <c r="C892" s="21"/>
      <c r="D892" s="21"/>
      <c r="E892" s="21"/>
      <c r="F892" s="21"/>
    </row>
    <row r="893" spans="3:6" ht="12.5">
      <c r="C893" s="21"/>
      <c r="D893" s="21"/>
      <c r="E893" s="21"/>
      <c r="F893" s="21"/>
    </row>
    <row r="894" spans="3:6" ht="12.5">
      <c r="C894" s="21"/>
      <c r="D894" s="21"/>
      <c r="E894" s="21"/>
      <c r="F894" s="21"/>
    </row>
    <row r="895" spans="3:6" ht="12.5">
      <c r="C895" s="21"/>
      <c r="D895" s="21"/>
      <c r="E895" s="21"/>
      <c r="F895" s="21"/>
    </row>
    <row r="896" spans="3:6" ht="12.5">
      <c r="C896" s="21"/>
      <c r="D896" s="21"/>
      <c r="E896" s="21"/>
      <c r="F896" s="21"/>
    </row>
    <row r="897" spans="3:6" ht="12.5">
      <c r="C897" s="21"/>
      <c r="D897" s="21"/>
      <c r="E897" s="21"/>
      <c r="F897" s="21"/>
    </row>
    <row r="898" spans="3:6" ht="12.5">
      <c r="C898" s="21"/>
      <c r="D898" s="21"/>
      <c r="E898" s="21"/>
      <c r="F898" s="21"/>
    </row>
    <row r="899" spans="3:6" ht="12.5">
      <c r="C899" s="21"/>
      <c r="D899" s="21"/>
      <c r="E899" s="21"/>
      <c r="F899" s="21"/>
    </row>
    <row r="900" spans="3:6" ht="12.5">
      <c r="C900" s="21"/>
      <c r="D900" s="21"/>
      <c r="E900" s="21"/>
      <c r="F900" s="21"/>
    </row>
    <row r="901" spans="3:6" ht="12.5">
      <c r="C901" s="21"/>
      <c r="D901" s="21"/>
      <c r="E901" s="21"/>
      <c r="F901" s="21"/>
    </row>
    <row r="902" spans="3:6" ht="12.5">
      <c r="C902" s="21"/>
      <c r="D902" s="21"/>
      <c r="E902" s="21"/>
      <c r="F902" s="21"/>
    </row>
    <row r="903" spans="3:6" ht="12.5">
      <c r="C903" s="21"/>
      <c r="D903" s="21"/>
      <c r="E903" s="21"/>
      <c r="F903" s="21"/>
    </row>
    <row r="904" spans="3:6" ht="12.5">
      <c r="C904" s="21"/>
      <c r="D904" s="21"/>
      <c r="E904" s="21"/>
      <c r="F904" s="21"/>
    </row>
    <row r="905" spans="3:6" ht="12.5">
      <c r="C905" s="21"/>
      <c r="D905" s="21"/>
      <c r="E905" s="21"/>
      <c r="F905" s="21"/>
    </row>
    <row r="906" spans="3:6" ht="12.5">
      <c r="C906" s="21"/>
      <c r="D906" s="21"/>
      <c r="E906" s="21"/>
      <c r="F906" s="21"/>
    </row>
    <row r="907" spans="3:6" ht="12.5">
      <c r="C907" s="21"/>
      <c r="D907" s="21"/>
      <c r="E907" s="21"/>
      <c r="F907" s="21"/>
    </row>
    <row r="908" spans="3:6" ht="12.5">
      <c r="C908" s="21"/>
      <c r="D908" s="21"/>
      <c r="E908" s="21"/>
      <c r="F908" s="21"/>
    </row>
    <row r="909" spans="3:6" ht="12.5">
      <c r="C909" s="21"/>
      <c r="D909" s="21"/>
      <c r="E909" s="21"/>
      <c r="F909" s="21"/>
    </row>
    <row r="910" spans="3:6" ht="12.5">
      <c r="C910" s="21"/>
      <c r="D910" s="21"/>
      <c r="E910" s="21"/>
      <c r="F910" s="21"/>
    </row>
    <row r="911" spans="3:6" ht="12.5">
      <c r="C911" s="21"/>
      <c r="D911" s="21"/>
      <c r="E911" s="21"/>
      <c r="F911" s="21"/>
    </row>
    <row r="912" spans="3:6" ht="12.5">
      <c r="C912" s="21"/>
      <c r="D912" s="21"/>
      <c r="E912" s="21"/>
      <c r="F912" s="21"/>
    </row>
    <row r="913" spans="3:6" ht="12.5">
      <c r="C913" s="21"/>
      <c r="D913" s="21"/>
      <c r="E913" s="21"/>
      <c r="F913" s="21"/>
    </row>
    <row r="914" spans="3:6" ht="12.5">
      <c r="C914" s="21"/>
      <c r="D914" s="21"/>
      <c r="E914" s="21"/>
      <c r="F914" s="21"/>
    </row>
    <row r="915" spans="3:6" ht="12.5">
      <c r="C915" s="21"/>
      <c r="D915" s="21"/>
      <c r="E915" s="21"/>
      <c r="F915" s="21"/>
    </row>
    <row r="916" spans="3:6" ht="12.5">
      <c r="C916" s="21"/>
      <c r="D916" s="21"/>
      <c r="E916" s="21"/>
      <c r="F916" s="21"/>
    </row>
    <row r="917" spans="3:6" ht="12.5">
      <c r="C917" s="21"/>
      <c r="D917" s="21"/>
      <c r="E917" s="21"/>
      <c r="F917" s="21"/>
    </row>
    <row r="918" spans="3:6" ht="12.5">
      <c r="C918" s="21"/>
      <c r="D918" s="21"/>
      <c r="E918" s="21"/>
      <c r="F918" s="21"/>
    </row>
    <row r="919" spans="3:6" ht="12.5">
      <c r="C919" s="21"/>
      <c r="D919" s="21"/>
      <c r="E919" s="21"/>
      <c r="F919" s="21"/>
    </row>
    <row r="920" spans="3:6" ht="12.5">
      <c r="C920" s="21"/>
      <c r="D920" s="21"/>
      <c r="E920" s="21"/>
      <c r="F920" s="21"/>
    </row>
    <row r="921" spans="3:6" ht="12.5">
      <c r="C921" s="21"/>
      <c r="D921" s="21"/>
      <c r="E921" s="21"/>
      <c r="F921" s="21"/>
    </row>
    <row r="922" spans="3:6" ht="12.5">
      <c r="C922" s="21"/>
      <c r="D922" s="21"/>
      <c r="E922" s="21"/>
      <c r="F922" s="21"/>
    </row>
    <row r="923" spans="3:6" ht="12.5">
      <c r="C923" s="21"/>
      <c r="D923" s="21"/>
      <c r="E923" s="21"/>
      <c r="F923" s="21"/>
    </row>
    <row r="924" spans="3:6" ht="12.5">
      <c r="C924" s="21"/>
      <c r="D924" s="21"/>
      <c r="E924" s="21"/>
      <c r="F924" s="21"/>
    </row>
    <row r="925" spans="3:6" ht="12.5">
      <c r="C925" s="21"/>
      <c r="D925" s="21"/>
      <c r="E925" s="21"/>
      <c r="F925" s="21"/>
    </row>
    <row r="926" spans="3:6" ht="12.5">
      <c r="C926" s="21"/>
      <c r="D926" s="21"/>
      <c r="E926" s="21"/>
      <c r="F926" s="21"/>
    </row>
    <row r="927" spans="3:6" ht="12.5">
      <c r="C927" s="21"/>
      <c r="D927" s="21"/>
      <c r="E927" s="21"/>
      <c r="F927" s="21"/>
    </row>
    <row r="928" spans="3:6" ht="12.5">
      <c r="C928" s="21"/>
      <c r="D928" s="21"/>
      <c r="E928" s="21"/>
      <c r="F928" s="21"/>
    </row>
    <row r="929" spans="3:6" ht="12.5">
      <c r="C929" s="21"/>
      <c r="D929" s="21"/>
      <c r="E929" s="21"/>
      <c r="F929" s="21"/>
    </row>
    <row r="930" spans="3:6" ht="12.5">
      <c r="C930" s="21"/>
      <c r="D930" s="21"/>
      <c r="E930" s="21"/>
      <c r="F930" s="21"/>
    </row>
    <row r="931" spans="3:6" ht="12.5">
      <c r="C931" s="21"/>
      <c r="D931" s="21"/>
      <c r="E931" s="21"/>
      <c r="F931" s="21"/>
    </row>
    <row r="932" spans="3:6" ht="12.5">
      <c r="C932" s="21"/>
      <c r="D932" s="21"/>
      <c r="E932" s="21"/>
      <c r="F932" s="21"/>
    </row>
    <row r="933" spans="3:6" ht="12.5">
      <c r="C933" s="21"/>
      <c r="D933" s="21"/>
      <c r="E933" s="21"/>
      <c r="F933" s="21"/>
    </row>
    <row r="934" spans="3:6" ht="12.5">
      <c r="C934" s="21"/>
      <c r="D934" s="21"/>
      <c r="E934" s="21"/>
      <c r="F934" s="21"/>
    </row>
    <row r="935" spans="3:6" ht="12.5">
      <c r="C935" s="21"/>
      <c r="D935" s="21"/>
      <c r="E935" s="21"/>
      <c r="F935" s="21"/>
    </row>
    <row r="936" spans="3:6" ht="12.5">
      <c r="C936" s="21"/>
      <c r="D936" s="21"/>
      <c r="E936" s="21"/>
      <c r="F936" s="21"/>
    </row>
    <row r="937" spans="3:6" ht="12.5">
      <c r="C937" s="21"/>
      <c r="D937" s="21"/>
      <c r="E937" s="21"/>
      <c r="F937" s="21"/>
    </row>
    <row r="938" spans="3:6" ht="12.5">
      <c r="C938" s="21"/>
      <c r="D938" s="21"/>
      <c r="E938" s="21"/>
      <c r="F938" s="21"/>
    </row>
    <row r="939" spans="3:6" ht="12.5">
      <c r="C939" s="21"/>
      <c r="D939" s="21"/>
      <c r="E939" s="21"/>
      <c r="F939" s="21"/>
    </row>
    <row r="940" spans="3:6" ht="12.5">
      <c r="C940" s="21"/>
      <c r="D940" s="21"/>
      <c r="E940" s="21"/>
      <c r="F940" s="21"/>
    </row>
    <row r="941" spans="3:6" ht="12.5">
      <c r="C941" s="21"/>
      <c r="D941" s="21"/>
      <c r="E941" s="21"/>
      <c r="F941" s="21"/>
    </row>
    <row r="942" spans="3:6" ht="12.5">
      <c r="C942" s="21"/>
      <c r="D942" s="21"/>
      <c r="E942" s="21"/>
      <c r="F942" s="21"/>
    </row>
    <row r="943" spans="3:6" ht="12.5">
      <c r="C943" s="21"/>
      <c r="D943" s="21"/>
      <c r="E943" s="21"/>
      <c r="F943" s="21"/>
    </row>
    <row r="944" spans="3:6" ht="12.5">
      <c r="C944" s="21"/>
      <c r="D944" s="21"/>
      <c r="E944" s="21"/>
      <c r="F944" s="21"/>
    </row>
    <row r="945" spans="3:6" ht="12.5">
      <c r="C945" s="21"/>
      <c r="D945" s="21"/>
      <c r="E945" s="21"/>
      <c r="F945" s="21"/>
    </row>
    <row r="946" spans="3:6" ht="12.5">
      <c r="C946" s="21"/>
      <c r="D946" s="21"/>
      <c r="E946" s="21"/>
      <c r="F946" s="21"/>
    </row>
    <row r="947" spans="3:6" ht="12.5">
      <c r="C947" s="21"/>
      <c r="D947" s="21"/>
      <c r="E947" s="21"/>
      <c r="F947" s="21"/>
    </row>
    <row r="948" spans="3:6" ht="12.5">
      <c r="C948" s="21"/>
      <c r="D948" s="21"/>
      <c r="E948" s="21"/>
      <c r="F948" s="21"/>
    </row>
    <row r="949" spans="3:6" ht="12.5">
      <c r="C949" s="21"/>
      <c r="D949" s="21"/>
      <c r="E949" s="21"/>
      <c r="F949" s="21"/>
    </row>
    <row r="950" spans="3:6" ht="12.5">
      <c r="C950" s="21"/>
      <c r="D950" s="21"/>
      <c r="E950" s="21"/>
      <c r="F950" s="21"/>
    </row>
    <row r="951" spans="3:6" ht="12.5">
      <c r="C951" s="21"/>
      <c r="D951" s="21"/>
      <c r="E951" s="21"/>
      <c r="F951" s="21"/>
    </row>
    <row r="952" spans="3:6" ht="12.5">
      <c r="C952" s="21"/>
      <c r="D952" s="21"/>
      <c r="E952" s="21"/>
      <c r="F952" s="21"/>
    </row>
    <row r="953" spans="3:6" ht="12.5">
      <c r="C953" s="21"/>
      <c r="D953" s="21"/>
      <c r="E953" s="21"/>
      <c r="F953" s="21"/>
    </row>
    <row r="954" spans="3:6" ht="12.5">
      <c r="C954" s="21"/>
      <c r="D954" s="21"/>
      <c r="E954" s="21"/>
      <c r="F954" s="21"/>
    </row>
    <row r="955" spans="3:6" ht="12.5">
      <c r="C955" s="21"/>
      <c r="D955" s="21"/>
      <c r="E955" s="21"/>
      <c r="F955" s="21"/>
    </row>
    <row r="956" spans="3:6" ht="12.5">
      <c r="C956" s="21"/>
      <c r="D956" s="21"/>
      <c r="E956" s="21"/>
      <c r="F956" s="21"/>
    </row>
    <row r="957" spans="3:6" ht="12.5">
      <c r="C957" s="21"/>
      <c r="D957" s="21"/>
      <c r="E957" s="21"/>
      <c r="F957" s="21"/>
    </row>
    <row r="958" spans="3:6" ht="12.5">
      <c r="C958" s="21"/>
      <c r="D958" s="21"/>
      <c r="E958" s="21"/>
      <c r="F958" s="21"/>
    </row>
    <row r="959" spans="3:6" ht="12.5">
      <c r="C959" s="21"/>
      <c r="D959" s="21"/>
      <c r="E959" s="21"/>
      <c r="F959" s="21"/>
    </row>
    <row r="960" spans="3:6" ht="12.5">
      <c r="C960" s="21"/>
      <c r="D960" s="21"/>
      <c r="E960" s="21"/>
      <c r="F960" s="21"/>
    </row>
    <row r="961" spans="3:6" ht="12.5">
      <c r="C961" s="21"/>
      <c r="D961" s="21"/>
      <c r="E961" s="21"/>
      <c r="F961" s="21"/>
    </row>
    <row r="962" spans="3:6" ht="12.5">
      <c r="C962" s="21"/>
      <c r="D962" s="21"/>
      <c r="E962" s="21"/>
      <c r="F962" s="21"/>
    </row>
    <row r="963" spans="3:6" ht="12.5">
      <c r="C963" s="21"/>
      <c r="D963" s="21"/>
      <c r="E963" s="21"/>
      <c r="F963" s="21"/>
    </row>
    <row r="964" spans="3:6" ht="12.5">
      <c r="C964" s="21"/>
      <c r="D964" s="21"/>
      <c r="E964" s="21"/>
      <c r="F964" s="21"/>
    </row>
    <row r="965" spans="3:6" ht="12.5">
      <c r="C965" s="21"/>
      <c r="D965" s="21"/>
      <c r="E965" s="21"/>
      <c r="F965" s="21"/>
    </row>
    <row r="966" spans="3:6" ht="12.5">
      <c r="C966" s="21"/>
      <c r="D966" s="21"/>
      <c r="E966" s="21"/>
      <c r="F966" s="21"/>
    </row>
    <row r="967" spans="3:6" ht="12.5">
      <c r="C967" s="21"/>
      <c r="D967" s="21"/>
      <c r="E967" s="21"/>
      <c r="F967" s="21"/>
    </row>
    <row r="968" spans="3:6" ht="12.5">
      <c r="C968" s="21"/>
      <c r="D968" s="21"/>
      <c r="E968" s="21"/>
      <c r="F968" s="21"/>
    </row>
    <row r="969" spans="3:6" ht="12.5">
      <c r="C969" s="21"/>
      <c r="D969" s="21"/>
      <c r="E969" s="21"/>
      <c r="F969" s="21"/>
    </row>
    <row r="970" spans="3:6" ht="12.5">
      <c r="C970" s="21"/>
      <c r="D970" s="21"/>
      <c r="E970" s="21"/>
      <c r="F970" s="21"/>
    </row>
    <row r="971" spans="3:6" ht="12.5">
      <c r="C971" s="21"/>
      <c r="D971" s="21"/>
      <c r="E971" s="21"/>
      <c r="F971" s="21"/>
    </row>
    <row r="972" spans="3:6" ht="12.5">
      <c r="C972" s="21"/>
      <c r="D972" s="21"/>
      <c r="E972" s="21"/>
      <c r="F972" s="21"/>
    </row>
    <row r="973" spans="3:6" ht="12.5">
      <c r="C973" s="21"/>
      <c r="D973" s="21"/>
      <c r="E973" s="21"/>
      <c r="F973" s="21"/>
    </row>
    <row r="974" spans="3:6" ht="12.5">
      <c r="C974" s="21"/>
      <c r="D974" s="21"/>
      <c r="E974" s="21"/>
      <c r="F974" s="21"/>
    </row>
    <row r="975" spans="3:6" ht="12.5">
      <c r="C975" s="21"/>
      <c r="D975" s="21"/>
      <c r="E975" s="21"/>
      <c r="F975" s="21"/>
    </row>
    <row r="976" spans="3:6" ht="12.5">
      <c r="C976" s="21"/>
      <c r="D976" s="21"/>
      <c r="E976" s="21"/>
      <c r="F976" s="21"/>
    </row>
    <row r="977" spans="3:6" ht="12.5">
      <c r="C977" s="21"/>
      <c r="D977" s="21"/>
      <c r="E977" s="21"/>
      <c r="F977" s="21"/>
    </row>
    <row r="978" spans="3:6" ht="12.5">
      <c r="C978" s="21"/>
      <c r="D978" s="21"/>
      <c r="E978" s="21"/>
      <c r="F978" s="21"/>
    </row>
    <row r="979" spans="3:6" ht="12.5">
      <c r="C979" s="21"/>
      <c r="D979" s="21"/>
      <c r="E979" s="21"/>
      <c r="F979" s="21"/>
    </row>
    <row r="980" spans="3:6" ht="12.5">
      <c r="C980" s="21"/>
      <c r="D980" s="21"/>
      <c r="E980" s="21"/>
      <c r="F980" s="21"/>
    </row>
    <row r="981" spans="3:6" ht="12.5">
      <c r="C981" s="21"/>
      <c r="D981" s="21"/>
      <c r="E981" s="21"/>
      <c r="F981" s="21"/>
    </row>
    <row r="982" spans="3:6" ht="12.5">
      <c r="C982" s="21"/>
      <c r="D982" s="21"/>
      <c r="E982" s="21"/>
      <c r="F982" s="21"/>
    </row>
    <row r="983" spans="3:6" ht="12.5">
      <c r="C983" s="21"/>
      <c r="D983" s="21"/>
      <c r="E983" s="21"/>
      <c r="F983" s="21"/>
    </row>
    <row r="984" spans="3:6" ht="12.5">
      <c r="C984" s="21"/>
      <c r="D984" s="21"/>
      <c r="E984" s="21"/>
      <c r="F984" s="21"/>
    </row>
    <row r="985" spans="3:6" ht="12.5">
      <c r="C985" s="21"/>
      <c r="D985" s="21"/>
      <c r="E985" s="21"/>
      <c r="F985" s="21"/>
    </row>
    <row r="986" spans="3:6" ht="12.5">
      <c r="C986" s="21"/>
      <c r="D986" s="21"/>
      <c r="E986" s="21"/>
      <c r="F986" s="21"/>
    </row>
    <row r="987" spans="3:6" ht="12.5">
      <c r="C987" s="21"/>
      <c r="D987" s="21"/>
      <c r="E987" s="21"/>
      <c r="F987" s="21"/>
    </row>
    <row r="988" spans="3:6" ht="12.5">
      <c r="C988" s="21"/>
      <c r="D988" s="21"/>
      <c r="E988" s="21"/>
      <c r="F988" s="21"/>
    </row>
    <row r="989" spans="3:6" ht="12.5">
      <c r="C989" s="21"/>
      <c r="D989" s="21"/>
      <c r="E989" s="21"/>
      <c r="F989" s="21"/>
    </row>
    <row r="990" spans="3:6" ht="12.5">
      <c r="C990" s="21"/>
      <c r="D990" s="21"/>
      <c r="E990" s="21"/>
      <c r="F990" s="21"/>
    </row>
    <row r="991" spans="3:6" ht="12.5">
      <c r="C991" s="21"/>
      <c r="D991" s="21"/>
      <c r="E991" s="21"/>
      <c r="F991" s="21"/>
    </row>
    <row r="992" spans="3:6" ht="12.5">
      <c r="C992" s="21"/>
      <c r="D992" s="21"/>
      <c r="E992" s="21"/>
      <c r="F992" s="21"/>
    </row>
    <row r="993" spans="3:6" ht="12.5">
      <c r="C993" s="21"/>
      <c r="D993" s="21"/>
      <c r="E993" s="21"/>
      <c r="F993" s="21"/>
    </row>
    <row r="994" spans="3:6" ht="12.5">
      <c r="C994" s="21"/>
      <c r="D994" s="21"/>
      <c r="E994" s="21"/>
      <c r="F994" s="21"/>
    </row>
    <row r="995" spans="3:6" ht="12.5">
      <c r="C995" s="21"/>
      <c r="D995" s="21"/>
      <c r="E995" s="21"/>
      <c r="F995" s="21"/>
    </row>
    <row r="996" spans="3:6" ht="12.5">
      <c r="C996" s="21"/>
      <c r="D996" s="21"/>
      <c r="E996" s="21"/>
      <c r="F996" s="21"/>
    </row>
    <row r="997" spans="3:6" ht="12.5">
      <c r="C997" s="21"/>
      <c r="D997" s="21"/>
      <c r="E997" s="21"/>
      <c r="F997" s="21"/>
    </row>
    <row r="998" spans="3:6" ht="12.5">
      <c r="C998" s="21"/>
      <c r="D998" s="21"/>
      <c r="E998" s="21"/>
      <c r="F998" s="21"/>
    </row>
    <row r="999" spans="3:6" ht="12.5">
      <c r="C999" s="21"/>
      <c r="D999" s="21"/>
      <c r="E999" s="21"/>
      <c r="F999" s="21"/>
    </row>
    <row r="1000" spans="3:6" ht="12.5">
      <c r="C1000" s="21"/>
      <c r="D1000" s="21"/>
      <c r="E1000" s="21"/>
      <c r="F1000" s="21"/>
    </row>
  </sheetData>
  <autoFilter ref="B1:AF57" xr:uid="{00000000-0009-0000-0000-000002000000}"/>
  <hyperlinks>
    <hyperlink ref="Q2" r:id="rId1" display="https://www.boliga.dk/maegler/802" xr:uid="{00000000-0004-0000-0200-000000000000}"/>
    <hyperlink ref="Q3" r:id="rId2" display="https://www.boliga.dk/maegler/18123" xr:uid="{00000000-0004-0000-0200-000001000000}"/>
    <hyperlink ref="Q4" r:id="rId3" display="https://www.boliga.dk/maegler/826" xr:uid="{00000000-0004-0000-0200-000002000000}"/>
    <hyperlink ref="Q5" r:id="rId4" display="https://www.boliga.dk/maegler/18068" xr:uid="{00000000-0004-0000-0200-000003000000}"/>
    <hyperlink ref="Q6" r:id="rId5" display="https://www.boliga.dk/maegler/388" xr:uid="{00000000-0004-0000-0200-000004000000}"/>
    <hyperlink ref="Q7" r:id="rId6" display="https://www.boliga.dk/maegler/299" xr:uid="{00000000-0004-0000-0200-000005000000}"/>
    <hyperlink ref="Q8" r:id="rId7" display="https://www.boliga.dk/maegler/885" xr:uid="{00000000-0004-0000-0200-000006000000}"/>
    <hyperlink ref="Q9" r:id="rId8" display="https://www.boliga.dk/maegler/162" xr:uid="{00000000-0004-0000-0200-000007000000}"/>
    <hyperlink ref="Q10" r:id="rId9" display="https://www.boliga.dk/maegler/20288" xr:uid="{00000000-0004-0000-0200-000008000000}"/>
    <hyperlink ref="Q11" r:id="rId10" display="https://www.boliga.dk/maegler/19306" xr:uid="{00000000-0004-0000-0200-000009000000}"/>
    <hyperlink ref="Q12" r:id="rId11" display="https://www.boliga.dk/maegler/19239" xr:uid="{00000000-0004-0000-0200-00000A000000}"/>
    <hyperlink ref="Q13" r:id="rId12" display="https://www.boliga.dk/maegler/22726" xr:uid="{00000000-0004-0000-0200-00000B000000}"/>
    <hyperlink ref="Q14" r:id="rId13" display="https://www.boliga.dk/maegler/303" xr:uid="{00000000-0004-0000-0200-00000C000000}"/>
    <hyperlink ref="Q15" r:id="rId14" display="https://www.boliga.dk/maegler/25268" xr:uid="{00000000-0004-0000-0200-00000D000000}"/>
    <hyperlink ref="Q16" r:id="rId15" display="https://www.boliga.dk/maegler/1031" xr:uid="{00000000-0004-0000-0200-00000E000000}"/>
    <hyperlink ref="Q17" r:id="rId16" display="https://www.boliga.dk/maegler/277" xr:uid="{00000000-0004-0000-0200-00000F000000}"/>
    <hyperlink ref="Q18" r:id="rId17" display="https://www.boliga.dk/maegler/201" xr:uid="{00000000-0004-0000-0200-000010000000}"/>
    <hyperlink ref="Q19" r:id="rId18" display="https://www.boliga.dk/maegler/17934" xr:uid="{00000000-0004-0000-0200-000011000000}"/>
    <hyperlink ref="Q20" r:id="rId19" display="https://www.boliga.dk/maegler/451" xr:uid="{00000000-0004-0000-0200-000012000000}"/>
    <hyperlink ref="Q21" r:id="rId20" display="https://www.boliga.dk/maegler/110" xr:uid="{00000000-0004-0000-0200-000013000000}"/>
    <hyperlink ref="Q22" r:id="rId21" display="https://www.boliga.dk/maegler/25202" xr:uid="{00000000-0004-0000-0200-000014000000}"/>
    <hyperlink ref="Q23" r:id="rId22" display="https://www.boliga.dk/maegler/231" xr:uid="{00000000-0004-0000-0200-000015000000}"/>
    <hyperlink ref="Q24" r:id="rId23" display="https://www.boliga.dk/maegler/98" xr:uid="{00000000-0004-0000-0200-000016000000}"/>
    <hyperlink ref="Q25" r:id="rId24" display="https://www.boliga.dk/maegler/932" xr:uid="{00000000-0004-0000-0200-000017000000}"/>
    <hyperlink ref="Q26" r:id="rId25" display="https://www.boliga.dk/maegler/196" xr:uid="{00000000-0004-0000-0200-000018000000}"/>
    <hyperlink ref="Q27" r:id="rId26" display="https://www.boliga.dk/maegler/20749" xr:uid="{00000000-0004-0000-0200-000019000000}"/>
    <hyperlink ref="Q28" r:id="rId27" display="https://www.boliga.dk/maegler/25250" xr:uid="{00000000-0004-0000-0200-00001A000000}"/>
    <hyperlink ref="Q29" r:id="rId28" display="https://www.boliga.dk/maegler/17504" xr:uid="{00000000-0004-0000-0200-00001B000000}"/>
    <hyperlink ref="Q30" r:id="rId29" display="https://www.boliga.dk/maegler/17851" xr:uid="{00000000-0004-0000-0200-00001C000000}"/>
    <hyperlink ref="Q31" r:id="rId30" display="https://www.boliga.dk/maegler/21327" xr:uid="{00000000-0004-0000-0200-00001D000000}"/>
    <hyperlink ref="Q32" r:id="rId31" display="https://www.boliga.dk/maegler/107" xr:uid="{00000000-0004-0000-0200-00001E000000}"/>
    <hyperlink ref="Q33" r:id="rId32" display="https://www.boliga.dk/maegler/18120" xr:uid="{00000000-0004-0000-0200-00001F000000}"/>
    <hyperlink ref="Q34" r:id="rId33" display="https://www.boliga.dk/maegler/18145" xr:uid="{00000000-0004-0000-0200-000020000000}"/>
    <hyperlink ref="Q35" r:id="rId34" display="https://www.boliga.dk/maegler/255" xr:uid="{00000000-0004-0000-0200-000021000000}"/>
    <hyperlink ref="Q36" r:id="rId35" display="https://www.boliga.dk/maegler/25794" xr:uid="{00000000-0004-0000-0200-000022000000}"/>
    <hyperlink ref="Q37" r:id="rId36" display="https://www.boliga.dk/maegler/25791" xr:uid="{00000000-0004-0000-0200-000023000000}"/>
    <hyperlink ref="Q38" r:id="rId37" display="https://www.boliga.dk/maegler/25801" xr:uid="{00000000-0004-0000-0200-000024000000}"/>
    <hyperlink ref="Q39" r:id="rId38" display="https://www.boliga.dk/maegler/25792" xr:uid="{00000000-0004-0000-0200-000025000000}"/>
    <hyperlink ref="Q40" r:id="rId39" display="https://www.boliga.dk/maegler/25790" xr:uid="{00000000-0004-0000-0200-000026000000}"/>
    <hyperlink ref="Q41" r:id="rId40" display="https://www.boliga.dk/maegler/25793" xr:uid="{00000000-0004-0000-0200-000027000000}"/>
    <hyperlink ref="Q42" r:id="rId41" display="https://www.boliga.dk/maegler/867" xr:uid="{00000000-0004-0000-0200-000028000000}"/>
    <hyperlink ref="Q43" r:id="rId42" display="https://www.boliga.dk/maegler/551" xr:uid="{00000000-0004-0000-0200-000029000000}"/>
    <hyperlink ref="Q44" r:id="rId43" display="https://www.boliga.dk/maegler/551" xr:uid="{00000000-0004-0000-0200-00002A000000}"/>
    <hyperlink ref="Q45" r:id="rId44" display="https://www.boliga.dk/maegler/76" xr:uid="{00000000-0004-0000-0200-00002B000000}"/>
    <hyperlink ref="Q46" r:id="rId45" display="https://www.boliga.dk/maegler/995" xr:uid="{00000000-0004-0000-0200-00002C000000}"/>
    <hyperlink ref="Q47" r:id="rId46" display="https://www.boliga.dk/maegler/239" xr:uid="{00000000-0004-0000-0200-00002D000000}"/>
    <hyperlink ref="Q48" r:id="rId47" display="https://www.boliga.dk/maegler/26405" xr:uid="{00000000-0004-0000-0200-00002E000000}"/>
    <hyperlink ref="Q49" r:id="rId48" display="https://www.boliga.dk/maegler/825" xr:uid="{00000000-0004-0000-0200-00002F000000}"/>
    <hyperlink ref="Q50" r:id="rId49" display="https://www.boliga.dk/maegler/825" xr:uid="{00000000-0004-0000-0200-000030000000}"/>
    <hyperlink ref="Q51" r:id="rId50" display="https://www.boliga.dk/maegler/17934" xr:uid="{00000000-0004-0000-0200-000031000000}"/>
    <hyperlink ref="Q52" r:id="rId51" display="https://www.boliga.dk/maegler/201" xr:uid="{00000000-0004-0000-0200-000032000000}"/>
    <hyperlink ref="Q53" r:id="rId52" display="https://www.boliga.dk/maegler/25169" xr:uid="{00000000-0004-0000-0200-000033000000}"/>
    <hyperlink ref="Q54" r:id="rId53" display="https://www.boliga.dk/maegler/25157" xr:uid="{00000000-0004-0000-0200-000034000000}"/>
    <hyperlink ref="Q55" r:id="rId54" display="https://www.boliga.dk/maegler/173" xr:uid="{00000000-0004-0000-0200-000035000000}"/>
    <hyperlink ref="Q57" r:id="rId55" display="https://www.boliga.dk/maegler/976" xr:uid="{00000000-0004-0000-0200-000036000000}"/>
  </hyperlinks>
  <pageMargins left="0.7" right="0.7" top="0.75" bottom="0.75" header="0.3" footer="0.3"/>
  <pageSetup paperSize="9"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1135"/>
  <sheetViews>
    <sheetView workbookViewId="0"/>
  </sheetViews>
  <sheetFormatPr defaultColWidth="12.6328125" defaultRowHeight="15.75" customHeight="1"/>
  <cols>
    <col min="6" max="6" width="52" customWidth="1"/>
    <col min="7" max="7" width="31.26953125" customWidth="1"/>
    <col min="8" max="8" width="90.36328125" customWidth="1"/>
  </cols>
  <sheetData>
    <row r="1" spans="1:9" ht="15.75" customHeight="1">
      <c r="A1" s="30" t="s">
        <v>474</v>
      </c>
      <c r="B1" s="31" t="s">
        <v>1</v>
      </c>
      <c r="C1" s="30" t="s">
        <v>475</v>
      </c>
      <c r="D1" s="32" t="s">
        <v>476</v>
      </c>
      <c r="E1" s="32" t="s">
        <v>477</v>
      </c>
      <c r="F1" s="32" t="s">
        <v>478</v>
      </c>
      <c r="G1" s="32" t="s">
        <v>479</v>
      </c>
      <c r="H1" s="30" t="s">
        <v>9</v>
      </c>
      <c r="I1" s="32" t="s">
        <v>480</v>
      </c>
    </row>
    <row r="2" spans="1:9" ht="15.75" customHeight="1">
      <c r="A2" s="33" t="s">
        <v>481</v>
      </c>
      <c r="B2" s="33" t="s">
        <v>31</v>
      </c>
      <c r="C2" s="33" t="s">
        <v>32</v>
      </c>
      <c r="D2" s="33" t="s">
        <v>482</v>
      </c>
      <c r="E2" s="34" t="s">
        <v>38</v>
      </c>
      <c r="F2" s="35"/>
      <c r="G2" s="33" t="s">
        <v>33</v>
      </c>
      <c r="H2" s="33" t="s">
        <v>483</v>
      </c>
      <c r="I2" s="33" t="s">
        <v>484</v>
      </c>
    </row>
    <row r="3" spans="1:9" ht="15.75" customHeight="1">
      <c r="A3" s="33" t="s">
        <v>485</v>
      </c>
      <c r="B3" s="33" t="s">
        <v>31</v>
      </c>
      <c r="C3" s="33" t="s">
        <v>39</v>
      </c>
      <c r="D3" s="33" t="s">
        <v>482</v>
      </c>
      <c r="E3" s="34" t="s">
        <v>44</v>
      </c>
      <c r="F3" s="35"/>
      <c r="G3" s="33" t="s">
        <v>40</v>
      </c>
      <c r="H3" s="33" t="s">
        <v>486</v>
      </c>
      <c r="I3" s="33" t="s">
        <v>487</v>
      </c>
    </row>
    <row r="4" spans="1:9" ht="15.75" customHeight="1">
      <c r="A4" s="33" t="s">
        <v>485</v>
      </c>
      <c r="B4" s="33" t="s">
        <v>31</v>
      </c>
      <c r="C4" s="33" t="s">
        <v>45</v>
      </c>
      <c r="D4" s="33" t="s">
        <v>482</v>
      </c>
      <c r="E4" s="34" t="s">
        <v>50</v>
      </c>
      <c r="F4" s="35"/>
      <c r="G4" s="33" t="s">
        <v>46</v>
      </c>
      <c r="H4" s="33" t="s">
        <v>488</v>
      </c>
      <c r="I4" s="33" t="s">
        <v>489</v>
      </c>
    </row>
    <row r="5" spans="1:9" ht="15.75" customHeight="1">
      <c r="A5" s="33" t="s">
        <v>490</v>
      </c>
      <c r="B5" s="33" t="s">
        <v>31</v>
      </c>
      <c r="C5" s="33" t="s">
        <v>491</v>
      </c>
      <c r="D5" s="33" t="s">
        <v>492</v>
      </c>
      <c r="E5" s="33" t="s">
        <v>493</v>
      </c>
      <c r="F5" s="35"/>
      <c r="G5" s="33" t="s">
        <v>494</v>
      </c>
      <c r="H5" s="33" t="s">
        <v>495</v>
      </c>
      <c r="I5" s="33" t="s">
        <v>496</v>
      </c>
    </row>
    <row r="6" spans="1:9" ht="15.75" customHeight="1">
      <c r="A6" s="33" t="s">
        <v>485</v>
      </c>
      <c r="B6" s="33" t="s">
        <v>31</v>
      </c>
      <c r="C6" s="33" t="s">
        <v>54</v>
      </c>
      <c r="D6" s="33" t="s">
        <v>482</v>
      </c>
      <c r="E6" s="34" t="s">
        <v>58</v>
      </c>
      <c r="F6" s="35"/>
      <c r="G6" s="33" t="s">
        <v>497</v>
      </c>
      <c r="H6" s="33" t="s">
        <v>498</v>
      </c>
      <c r="I6" s="33" t="s">
        <v>499</v>
      </c>
    </row>
    <row r="7" spans="1:9" ht="15.75" customHeight="1">
      <c r="A7" s="33" t="s">
        <v>485</v>
      </c>
      <c r="B7" s="33" t="s">
        <v>31</v>
      </c>
      <c r="C7" s="33" t="s">
        <v>59</v>
      </c>
      <c r="D7" s="33" t="s">
        <v>482</v>
      </c>
      <c r="E7" s="34" t="s">
        <v>63</v>
      </c>
      <c r="F7" s="35"/>
      <c r="G7" s="33" t="s">
        <v>497</v>
      </c>
      <c r="H7" s="33" t="s">
        <v>500</v>
      </c>
      <c r="I7" s="33" t="s">
        <v>499</v>
      </c>
    </row>
    <row r="8" spans="1:9" ht="15.75" customHeight="1">
      <c r="A8" s="33" t="s">
        <v>485</v>
      </c>
      <c r="B8" s="33" t="s">
        <v>31</v>
      </c>
      <c r="C8" s="33" t="s">
        <v>64</v>
      </c>
      <c r="D8" s="33" t="s">
        <v>482</v>
      </c>
      <c r="E8" s="34" t="s">
        <v>68</v>
      </c>
      <c r="F8" s="35"/>
      <c r="G8" s="33" t="s">
        <v>65</v>
      </c>
      <c r="H8" s="33" t="s">
        <v>501</v>
      </c>
      <c r="I8" s="33" t="s">
        <v>502</v>
      </c>
    </row>
    <row r="9" spans="1:9" ht="15.75" customHeight="1">
      <c r="A9" s="33" t="s">
        <v>485</v>
      </c>
      <c r="B9" s="33" t="s">
        <v>31</v>
      </c>
      <c r="C9" s="33" t="s">
        <v>69</v>
      </c>
      <c r="D9" s="33" t="s">
        <v>482</v>
      </c>
      <c r="E9" s="34" t="s">
        <v>74</v>
      </c>
      <c r="F9" s="35"/>
      <c r="G9" s="33" t="s">
        <v>70</v>
      </c>
      <c r="H9" s="33" t="s">
        <v>503</v>
      </c>
      <c r="I9" s="33" t="s">
        <v>504</v>
      </c>
    </row>
    <row r="10" spans="1:9" ht="15.75" customHeight="1">
      <c r="A10" s="33" t="s">
        <v>490</v>
      </c>
      <c r="B10" s="33" t="s">
        <v>31</v>
      </c>
      <c r="C10" s="33" t="s">
        <v>75</v>
      </c>
      <c r="D10" s="33" t="s">
        <v>505</v>
      </c>
      <c r="E10" s="34" t="s">
        <v>80</v>
      </c>
      <c r="F10" s="35"/>
      <c r="G10" s="33" t="s">
        <v>76</v>
      </c>
      <c r="H10" s="33" t="s">
        <v>506</v>
      </c>
      <c r="I10" s="33" t="s">
        <v>507</v>
      </c>
    </row>
    <row r="11" spans="1:9" ht="15.75" customHeight="1">
      <c r="A11" s="33" t="s">
        <v>481</v>
      </c>
      <c r="B11" s="33" t="s">
        <v>31</v>
      </c>
      <c r="C11" s="33" t="s">
        <v>81</v>
      </c>
      <c r="D11" s="33" t="s">
        <v>482</v>
      </c>
      <c r="E11" s="34" t="s">
        <v>87</v>
      </c>
      <c r="F11" s="35"/>
      <c r="G11" s="33" t="s">
        <v>82</v>
      </c>
      <c r="H11" s="33" t="s">
        <v>508</v>
      </c>
      <c r="I11" s="33" t="s">
        <v>509</v>
      </c>
    </row>
    <row r="12" spans="1:9" ht="15.75" customHeight="1">
      <c r="A12" s="33" t="s">
        <v>485</v>
      </c>
      <c r="B12" s="33" t="s">
        <v>31</v>
      </c>
      <c r="C12" s="36" t="s">
        <v>88</v>
      </c>
      <c r="D12" s="33" t="s">
        <v>482</v>
      </c>
      <c r="E12" s="34" t="s">
        <v>94</v>
      </c>
      <c r="F12" s="35"/>
      <c r="G12" s="33" t="s">
        <v>89</v>
      </c>
      <c r="H12" s="33" t="s">
        <v>510</v>
      </c>
      <c r="I12" s="33" t="s">
        <v>511</v>
      </c>
    </row>
    <row r="13" spans="1:9" ht="15.75" customHeight="1">
      <c r="A13" s="33" t="s">
        <v>512</v>
      </c>
      <c r="B13" s="33" t="s">
        <v>31</v>
      </c>
      <c r="C13" s="33" t="s">
        <v>95</v>
      </c>
      <c r="D13" s="33" t="s">
        <v>482</v>
      </c>
      <c r="E13" s="34" t="s">
        <v>98</v>
      </c>
      <c r="F13" s="35"/>
      <c r="G13" s="33" t="s">
        <v>89</v>
      </c>
      <c r="H13" s="33" t="s">
        <v>513</v>
      </c>
      <c r="I13" s="33" t="s">
        <v>511</v>
      </c>
    </row>
    <row r="14" spans="1:9" ht="15.75" customHeight="1">
      <c r="A14" s="33" t="s">
        <v>485</v>
      </c>
      <c r="B14" s="33" t="s">
        <v>31</v>
      </c>
      <c r="C14" s="33" t="s">
        <v>99</v>
      </c>
      <c r="D14" s="33" t="s">
        <v>482</v>
      </c>
      <c r="E14" s="34" t="s">
        <v>105</v>
      </c>
      <c r="F14" s="35"/>
      <c r="G14" s="33" t="s">
        <v>100</v>
      </c>
      <c r="H14" s="33" t="s">
        <v>514</v>
      </c>
      <c r="I14" s="33" t="s">
        <v>515</v>
      </c>
    </row>
    <row r="15" spans="1:9" ht="15.75" customHeight="1">
      <c r="A15" s="33" t="s">
        <v>485</v>
      </c>
      <c r="B15" s="33" t="s">
        <v>31</v>
      </c>
      <c r="C15" s="33" t="s">
        <v>106</v>
      </c>
      <c r="D15" s="33" t="s">
        <v>482</v>
      </c>
      <c r="E15" s="34" t="s">
        <v>111</v>
      </c>
      <c r="F15" s="35"/>
      <c r="G15" s="33" t="s">
        <v>107</v>
      </c>
      <c r="H15" s="33" t="s">
        <v>516</v>
      </c>
      <c r="I15" s="33" t="s">
        <v>517</v>
      </c>
    </row>
    <row r="16" spans="1:9" ht="15.75" customHeight="1">
      <c r="A16" s="33" t="s">
        <v>485</v>
      </c>
      <c r="B16" s="33" t="s">
        <v>31</v>
      </c>
      <c r="C16" s="33" t="s">
        <v>112</v>
      </c>
      <c r="D16" s="33" t="s">
        <v>482</v>
      </c>
      <c r="E16" s="34" t="s">
        <v>116</v>
      </c>
      <c r="F16" s="35"/>
      <c r="G16" s="33" t="s">
        <v>518</v>
      </c>
      <c r="H16" s="33" t="s">
        <v>519</v>
      </c>
      <c r="I16" s="33" t="s">
        <v>520</v>
      </c>
    </row>
    <row r="17" spans="1:9" ht="15.75" customHeight="1">
      <c r="A17" s="33" t="s">
        <v>481</v>
      </c>
      <c r="B17" s="33" t="s">
        <v>31</v>
      </c>
      <c r="C17" s="33" t="s">
        <v>117</v>
      </c>
      <c r="D17" s="33" t="s">
        <v>482</v>
      </c>
      <c r="E17" s="34" t="s">
        <v>123</v>
      </c>
      <c r="F17" s="35"/>
      <c r="G17" s="33" t="s">
        <v>118</v>
      </c>
      <c r="H17" s="33" t="s">
        <v>521</v>
      </c>
      <c r="I17" s="33" t="s">
        <v>522</v>
      </c>
    </row>
    <row r="18" spans="1:9" ht="15.75" customHeight="1">
      <c r="A18" s="33" t="s">
        <v>485</v>
      </c>
      <c r="B18" s="33" t="s">
        <v>31</v>
      </c>
      <c r="C18" s="33" t="s">
        <v>124</v>
      </c>
      <c r="D18" s="33" t="s">
        <v>482</v>
      </c>
      <c r="E18" s="34" t="s">
        <v>129</v>
      </c>
      <c r="F18" s="35"/>
      <c r="G18" s="33" t="s">
        <v>125</v>
      </c>
      <c r="H18" s="33" t="s">
        <v>523</v>
      </c>
      <c r="I18" s="33" t="s">
        <v>524</v>
      </c>
    </row>
    <row r="19" spans="1:9" ht="14.5">
      <c r="A19" s="33" t="s">
        <v>525</v>
      </c>
      <c r="B19" s="33" t="s">
        <v>31</v>
      </c>
      <c r="C19" s="33" t="s">
        <v>130</v>
      </c>
      <c r="D19" s="33" t="s">
        <v>482</v>
      </c>
      <c r="E19" s="34" t="s">
        <v>133</v>
      </c>
      <c r="F19" s="35"/>
      <c r="G19" s="33" t="s">
        <v>526</v>
      </c>
      <c r="H19" s="33" t="s">
        <v>527</v>
      </c>
      <c r="I19" s="33" t="s">
        <v>528</v>
      </c>
    </row>
    <row r="20" spans="1:9" ht="14.5">
      <c r="A20" s="33" t="s">
        <v>485</v>
      </c>
      <c r="B20" s="33" t="s">
        <v>31</v>
      </c>
      <c r="C20" s="33" t="s">
        <v>134</v>
      </c>
      <c r="D20" s="33" t="s">
        <v>482</v>
      </c>
      <c r="E20" s="34" t="s">
        <v>139</v>
      </c>
      <c r="F20" s="35"/>
      <c r="G20" s="33" t="s">
        <v>135</v>
      </c>
      <c r="H20" s="33" t="s">
        <v>529</v>
      </c>
      <c r="I20" s="33" t="s">
        <v>530</v>
      </c>
    </row>
    <row r="21" spans="1:9" ht="14.5">
      <c r="A21" s="33" t="s">
        <v>485</v>
      </c>
      <c r="B21" s="33" t="s">
        <v>31</v>
      </c>
      <c r="C21" s="33" t="s">
        <v>140</v>
      </c>
      <c r="D21" s="33" t="s">
        <v>482</v>
      </c>
      <c r="E21" s="34" t="s">
        <v>141</v>
      </c>
      <c r="F21" s="35"/>
      <c r="G21" s="33" t="s">
        <v>135</v>
      </c>
      <c r="H21" s="33" t="s">
        <v>531</v>
      </c>
      <c r="I21" s="33" t="s">
        <v>530</v>
      </c>
    </row>
    <row r="22" spans="1:9" ht="14.5">
      <c r="A22" s="33" t="s">
        <v>485</v>
      </c>
      <c r="B22" s="33" t="s">
        <v>31</v>
      </c>
      <c r="C22" s="33" t="s">
        <v>142</v>
      </c>
      <c r="D22" s="33" t="s">
        <v>482</v>
      </c>
      <c r="E22" s="34" t="s">
        <v>146</v>
      </c>
      <c r="F22" s="35"/>
      <c r="G22" s="33" t="s">
        <v>135</v>
      </c>
      <c r="H22" s="33" t="s">
        <v>532</v>
      </c>
      <c r="I22" s="33" t="s">
        <v>530</v>
      </c>
    </row>
    <row r="23" spans="1:9" ht="14.5">
      <c r="A23" s="33" t="s">
        <v>485</v>
      </c>
      <c r="B23" s="33" t="s">
        <v>31</v>
      </c>
      <c r="C23" s="36" t="s">
        <v>147</v>
      </c>
      <c r="D23" s="33" t="s">
        <v>482</v>
      </c>
      <c r="E23" s="34" t="s">
        <v>151</v>
      </c>
      <c r="F23" s="35"/>
      <c r="G23" s="33" t="s">
        <v>533</v>
      </c>
      <c r="H23" s="33" t="s">
        <v>534</v>
      </c>
      <c r="I23" s="33" t="s">
        <v>535</v>
      </c>
    </row>
    <row r="24" spans="1:9" ht="14.5">
      <c r="A24" s="33" t="s">
        <v>485</v>
      </c>
      <c r="B24" s="33" t="s">
        <v>31</v>
      </c>
      <c r="C24" s="33" t="s">
        <v>152</v>
      </c>
      <c r="D24" s="33" t="s">
        <v>482</v>
      </c>
      <c r="E24" s="34" t="s">
        <v>156</v>
      </c>
      <c r="F24" s="35"/>
      <c r="G24" s="33" t="s">
        <v>533</v>
      </c>
      <c r="H24" s="33" t="s">
        <v>536</v>
      </c>
      <c r="I24" s="33" t="s">
        <v>537</v>
      </c>
    </row>
    <row r="25" spans="1:9" ht="14.5">
      <c r="A25" s="33" t="s">
        <v>485</v>
      </c>
      <c r="B25" s="33" t="s">
        <v>31</v>
      </c>
      <c r="C25" s="33" t="s">
        <v>157</v>
      </c>
      <c r="D25" s="33" t="s">
        <v>482</v>
      </c>
      <c r="E25" s="34" t="s">
        <v>161</v>
      </c>
      <c r="F25" s="35"/>
      <c r="G25" s="33" t="s">
        <v>538</v>
      </c>
      <c r="H25" s="33" t="s">
        <v>539</v>
      </c>
      <c r="I25" s="33" t="s">
        <v>540</v>
      </c>
    </row>
    <row r="26" spans="1:9" ht="14.5">
      <c r="A26" s="33" t="s">
        <v>485</v>
      </c>
      <c r="B26" s="33" t="s">
        <v>31</v>
      </c>
      <c r="C26" s="33" t="s">
        <v>162</v>
      </c>
      <c r="D26" s="33" t="s">
        <v>482</v>
      </c>
      <c r="E26" s="34" t="s">
        <v>166</v>
      </c>
      <c r="F26" s="35"/>
      <c r="G26" s="33" t="s">
        <v>541</v>
      </c>
      <c r="H26" s="33" t="s">
        <v>542</v>
      </c>
      <c r="I26" s="33" t="s">
        <v>540</v>
      </c>
    </row>
    <row r="27" spans="1:9" ht="14.5">
      <c r="A27" s="33" t="s">
        <v>485</v>
      </c>
      <c r="B27" s="33" t="s">
        <v>31</v>
      </c>
      <c r="C27" s="33" t="s">
        <v>167</v>
      </c>
      <c r="D27" s="33" t="s">
        <v>482</v>
      </c>
      <c r="E27" s="34" t="s">
        <v>171</v>
      </c>
      <c r="F27" s="35"/>
      <c r="G27" s="33" t="s">
        <v>538</v>
      </c>
      <c r="H27" s="33" t="s">
        <v>543</v>
      </c>
      <c r="I27" s="33" t="s">
        <v>540</v>
      </c>
    </row>
    <row r="28" spans="1:9" ht="14.5">
      <c r="A28" s="33" t="s">
        <v>485</v>
      </c>
      <c r="B28" s="33" t="s">
        <v>31</v>
      </c>
      <c r="C28" s="33" t="s">
        <v>172</v>
      </c>
      <c r="D28" s="33" t="s">
        <v>482</v>
      </c>
      <c r="E28" s="34" t="s">
        <v>544</v>
      </c>
      <c r="F28" s="35"/>
      <c r="G28" s="33" t="s">
        <v>538</v>
      </c>
      <c r="H28" s="33" t="s">
        <v>545</v>
      </c>
      <c r="I28" s="33" t="s">
        <v>540</v>
      </c>
    </row>
    <row r="29" spans="1:9" ht="14.5">
      <c r="A29" s="33" t="s">
        <v>485</v>
      </c>
      <c r="B29" s="33" t="s">
        <v>31</v>
      </c>
      <c r="C29" s="33" t="s">
        <v>175</v>
      </c>
      <c r="D29" s="33" t="s">
        <v>482</v>
      </c>
      <c r="E29" s="34" t="s">
        <v>180</v>
      </c>
      <c r="F29" s="35"/>
      <c r="G29" s="33" t="s">
        <v>546</v>
      </c>
      <c r="H29" s="33" t="s">
        <v>547</v>
      </c>
      <c r="I29" s="33" t="s">
        <v>548</v>
      </c>
    </row>
    <row r="30" spans="1:9" ht="14.5">
      <c r="A30" s="33" t="s">
        <v>485</v>
      </c>
      <c r="B30" s="33" t="s">
        <v>31</v>
      </c>
      <c r="C30" s="33" t="s">
        <v>181</v>
      </c>
      <c r="D30" s="33" t="s">
        <v>482</v>
      </c>
      <c r="E30" s="34" t="s">
        <v>185</v>
      </c>
      <c r="F30" s="35"/>
      <c r="G30" s="33" t="s">
        <v>546</v>
      </c>
      <c r="H30" s="33" t="s">
        <v>549</v>
      </c>
      <c r="I30" s="33" t="s">
        <v>548</v>
      </c>
    </row>
    <row r="31" spans="1:9" ht="14.5">
      <c r="A31" s="33" t="s">
        <v>485</v>
      </c>
      <c r="B31" s="33" t="s">
        <v>31</v>
      </c>
      <c r="C31" s="33" t="s">
        <v>186</v>
      </c>
      <c r="D31" s="33" t="s">
        <v>482</v>
      </c>
      <c r="E31" s="34" t="s">
        <v>191</v>
      </c>
      <c r="F31" s="35"/>
      <c r="G31" s="33" t="s">
        <v>187</v>
      </c>
      <c r="H31" s="33" t="s">
        <v>550</v>
      </c>
      <c r="I31" s="33" t="s">
        <v>551</v>
      </c>
    </row>
    <row r="32" spans="1:9" ht="14.5">
      <c r="A32" s="33" t="s">
        <v>485</v>
      </c>
      <c r="B32" s="33" t="s">
        <v>31</v>
      </c>
      <c r="C32" s="33" t="s">
        <v>192</v>
      </c>
      <c r="D32" s="33" t="s">
        <v>482</v>
      </c>
      <c r="E32" s="34" t="s">
        <v>197</v>
      </c>
      <c r="F32" s="35"/>
      <c r="G32" s="33" t="s">
        <v>193</v>
      </c>
      <c r="H32" s="33" t="s">
        <v>552</v>
      </c>
      <c r="I32" s="33" t="s">
        <v>553</v>
      </c>
    </row>
    <row r="33" spans="1:9" ht="14.5">
      <c r="A33" s="33" t="s">
        <v>485</v>
      </c>
      <c r="B33" s="33" t="s">
        <v>31</v>
      </c>
      <c r="C33" s="33" t="s">
        <v>198</v>
      </c>
      <c r="D33" s="33" t="s">
        <v>482</v>
      </c>
      <c r="E33" s="34" t="s">
        <v>204</v>
      </c>
      <c r="F33" s="35"/>
      <c r="G33" s="33" t="s">
        <v>199</v>
      </c>
      <c r="H33" s="33" t="s">
        <v>554</v>
      </c>
      <c r="I33" s="33" t="s">
        <v>555</v>
      </c>
    </row>
    <row r="34" spans="1:9" ht="14.5">
      <c r="A34" s="33" t="s">
        <v>485</v>
      </c>
      <c r="B34" s="33" t="s">
        <v>31</v>
      </c>
      <c r="C34" s="33" t="s">
        <v>205</v>
      </c>
      <c r="D34" s="33" t="s">
        <v>482</v>
      </c>
      <c r="E34" s="34" t="s">
        <v>210</v>
      </c>
      <c r="F34" s="35"/>
      <c r="G34" s="33" t="s">
        <v>199</v>
      </c>
      <c r="H34" s="33" t="s">
        <v>556</v>
      </c>
      <c r="I34" s="33" t="s">
        <v>555</v>
      </c>
    </row>
    <row r="35" spans="1:9" ht="14.5">
      <c r="A35" s="33" t="s">
        <v>485</v>
      </c>
      <c r="B35" s="33" t="s">
        <v>31</v>
      </c>
      <c r="C35" s="33" t="s">
        <v>211</v>
      </c>
      <c r="D35" s="33" t="s">
        <v>482</v>
      </c>
      <c r="E35" s="34" t="s">
        <v>216</v>
      </c>
      <c r="F35" s="35"/>
      <c r="G35" s="33" t="s">
        <v>199</v>
      </c>
      <c r="H35" s="33" t="s">
        <v>557</v>
      </c>
      <c r="I35" s="33" t="s">
        <v>555</v>
      </c>
    </row>
    <row r="36" spans="1:9" ht="14.5">
      <c r="A36" s="33" t="s">
        <v>485</v>
      </c>
      <c r="B36" s="33" t="s">
        <v>31</v>
      </c>
      <c r="C36" s="33" t="s">
        <v>217</v>
      </c>
      <c r="D36" s="33" t="s">
        <v>558</v>
      </c>
      <c r="E36" s="34" t="s">
        <v>221</v>
      </c>
      <c r="F36" s="35"/>
      <c r="G36" s="33" t="s">
        <v>199</v>
      </c>
      <c r="H36" s="33" t="s">
        <v>559</v>
      </c>
      <c r="I36" s="33" t="s">
        <v>555</v>
      </c>
    </row>
    <row r="37" spans="1:9" ht="14.5">
      <c r="A37" s="33" t="s">
        <v>485</v>
      </c>
      <c r="B37" s="33" t="s">
        <v>31</v>
      </c>
      <c r="C37" s="33" t="s">
        <v>222</v>
      </c>
      <c r="D37" s="33" t="s">
        <v>560</v>
      </c>
      <c r="E37" s="34" t="s">
        <v>226</v>
      </c>
      <c r="F37" s="35"/>
      <c r="G37" s="33" t="s">
        <v>199</v>
      </c>
      <c r="H37" s="33" t="s">
        <v>561</v>
      </c>
      <c r="I37" s="33" t="s">
        <v>555</v>
      </c>
    </row>
    <row r="38" spans="1:9" ht="14.5">
      <c r="A38" s="33" t="s">
        <v>485</v>
      </c>
      <c r="B38" s="33" t="s">
        <v>31</v>
      </c>
      <c r="C38" s="33" t="s">
        <v>227</v>
      </c>
      <c r="D38" s="33" t="s">
        <v>482</v>
      </c>
      <c r="E38" s="34" t="s">
        <v>562</v>
      </c>
      <c r="F38" s="35"/>
      <c r="G38" s="33" t="s">
        <v>228</v>
      </c>
      <c r="H38" s="33" t="s">
        <v>563</v>
      </c>
      <c r="I38" s="33" t="s">
        <v>564</v>
      </c>
    </row>
    <row r="39" spans="1:9" ht="14.5">
      <c r="A39" s="33" t="s">
        <v>485</v>
      </c>
      <c r="B39" s="33" t="s">
        <v>31</v>
      </c>
      <c r="C39" s="33" t="s">
        <v>242</v>
      </c>
      <c r="D39" s="33" t="s">
        <v>482</v>
      </c>
      <c r="E39" s="34" t="s">
        <v>565</v>
      </c>
      <c r="F39" s="35"/>
      <c r="G39" s="33" t="s">
        <v>566</v>
      </c>
      <c r="H39" s="33" t="s">
        <v>567</v>
      </c>
      <c r="I39" s="33" t="s">
        <v>568</v>
      </c>
    </row>
    <row r="40" spans="1:9" ht="14.5">
      <c r="A40" s="33" t="s">
        <v>485</v>
      </c>
      <c r="B40" s="33" t="s">
        <v>31</v>
      </c>
      <c r="C40" s="33" t="s">
        <v>244</v>
      </c>
      <c r="D40" s="33" t="s">
        <v>482</v>
      </c>
      <c r="E40" s="34" t="s">
        <v>249</v>
      </c>
      <c r="F40" s="35"/>
      <c r="G40" s="33" t="s">
        <v>245</v>
      </c>
      <c r="H40" s="33" t="s">
        <v>569</v>
      </c>
      <c r="I40" s="33" t="s">
        <v>570</v>
      </c>
    </row>
    <row r="41" spans="1:9" ht="14.5">
      <c r="A41" s="33" t="s">
        <v>485</v>
      </c>
      <c r="B41" s="33" t="s">
        <v>31</v>
      </c>
      <c r="C41" s="33" t="s">
        <v>250</v>
      </c>
      <c r="D41" s="33" t="s">
        <v>482</v>
      </c>
      <c r="E41" s="34" t="s">
        <v>255</v>
      </c>
      <c r="F41" s="35"/>
      <c r="G41" s="33" t="s">
        <v>251</v>
      </c>
      <c r="H41" s="33" t="s">
        <v>571</v>
      </c>
      <c r="I41" s="33" t="s">
        <v>572</v>
      </c>
    </row>
    <row r="42" spans="1:9" ht="14.5">
      <c r="A42" s="33" t="s">
        <v>485</v>
      </c>
      <c r="B42" s="33" t="s">
        <v>31</v>
      </c>
      <c r="C42" s="33" t="s">
        <v>573</v>
      </c>
      <c r="D42" s="33" t="s">
        <v>574</v>
      </c>
      <c r="E42" s="34" t="s">
        <v>473</v>
      </c>
      <c r="F42" s="35"/>
      <c r="G42" s="33" t="s">
        <v>575</v>
      </c>
      <c r="H42" s="33" t="s">
        <v>576</v>
      </c>
      <c r="I42" s="33" t="s">
        <v>577</v>
      </c>
    </row>
    <row r="43" spans="1:9" ht="14.5">
      <c r="A43" s="33" t="s">
        <v>481</v>
      </c>
      <c r="B43" s="33" t="s">
        <v>31</v>
      </c>
      <c r="C43" s="33" t="s">
        <v>256</v>
      </c>
      <c r="D43" s="33" t="s">
        <v>482</v>
      </c>
      <c r="E43" s="34" t="s">
        <v>261</v>
      </c>
      <c r="F43" s="35"/>
      <c r="G43" s="33" t="s">
        <v>578</v>
      </c>
      <c r="H43" s="33" t="s">
        <v>579</v>
      </c>
      <c r="I43" s="33" t="s">
        <v>580</v>
      </c>
    </row>
    <row r="44" spans="1:9" ht="14.5">
      <c r="A44" s="33" t="s">
        <v>481</v>
      </c>
      <c r="B44" s="33" t="s">
        <v>31</v>
      </c>
      <c r="C44" s="37" t="s">
        <v>262</v>
      </c>
      <c r="D44" s="33" t="s">
        <v>482</v>
      </c>
      <c r="E44" s="34" t="s">
        <v>268</v>
      </c>
      <c r="F44" s="35"/>
      <c r="G44" s="33" t="s">
        <v>263</v>
      </c>
      <c r="H44" s="33" t="s">
        <v>581</v>
      </c>
      <c r="I44" s="33" t="s">
        <v>582</v>
      </c>
    </row>
    <row r="45" spans="1:9" ht="14.5">
      <c r="A45" s="33" t="s">
        <v>485</v>
      </c>
      <c r="B45" s="33" t="s">
        <v>31</v>
      </c>
      <c r="C45" s="33" t="s">
        <v>583</v>
      </c>
      <c r="D45" s="33" t="s">
        <v>482</v>
      </c>
      <c r="E45" s="38" t="s">
        <v>584</v>
      </c>
      <c r="F45" s="39"/>
      <c r="G45" s="38" t="s">
        <v>269</v>
      </c>
      <c r="H45" s="38" t="s">
        <v>585</v>
      </c>
      <c r="I45" s="33" t="s">
        <v>586</v>
      </c>
    </row>
    <row r="46" spans="1:9" ht="14.5">
      <c r="A46" s="33" t="s">
        <v>481</v>
      </c>
      <c r="B46" s="33" t="s">
        <v>31</v>
      </c>
      <c r="C46" s="33" t="s">
        <v>303</v>
      </c>
      <c r="D46" s="33" t="s">
        <v>482</v>
      </c>
      <c r="E46" s="34" t="s">
        <v>308</v>
      </c>
      <c r="F46" s="35"/>
      <c r="G46" s="33" t="s">
        <v>587</v>
      </c>
      <c r="H46" s="33" t="s">
        <v>588</v>
      </c>
      <c r="I46" s="33" t="s">
        <v>589</v>
      </c>
    </row>
    <row r="47" spans="1:9" ht="14.5">
      <c r="A47" s="33" t="s">
        <v>481</v>
      </c>
      <c r="B47" s="33" t="s">
        <v>31</v>
      </c>
      <c r="C47" s="33" t="s">
        <v>309</v>
      </c>
      <c r="D47" s="33" t="s">
        <v>482</v>
      </c>
      <c r="E47" s="34" t="s">
        <v>314</v>
      </c>
      <c r="F47" s="35"/>
      <c r="G47" s="33" t="s">
        <v>304</v>
      </c>
      <c r="H47" s="33" t="s">
        <v>590</v>
      </c>
      <c r="I47" s="33" t="s">
        <v>589</v>
      </c>
    </row>
    <row r="48" spans="1:9" ht="14.5">
      <c r="A48" s="33" t="s">
        <v>485</v>
      </c>
      <c r="B48" s="33" t="s">
        <v>31</v>
      </c>
      <c r="C48" s="33" t="s">
        <v>315</v>
      </c>
      <c r="D48" s="33" t="s">
        <v>482</v>
      </c>
      <c r="E48" s="34" t="s">
        <v>316</v>
      </c>
      <c r="F48" s="35"/>
      <c r="G48" s="33" t="s">
        <v>591</v>
      </c>
      <c r="H48" s="33" t="s">
        <v>592</v>
      </c>
      <c r="I48" s="33" t="s">
        <v>593</v>
      </c>
    </row>
    <row r="49" spans="1:9" ht="14.5">
      <c r="A49" s="33" t="s">
        <v>485</v>
      </c>
      <c r="B49" s="33" t="s">
        <v>31</v>
      </c>
      <c r="C49" s="33" t="s">
        <v>317</v>
      </c>
      <c r="D49" s="33" t="s">
        <v>482</v>
      </c>
      <c r="E49" s="34" t="s">
        <v>322</v>
      </c>
      <c r="F49" s="35"/>
      <c r="G49" s="33" t="s">
        <v>318</v>
      </c>
      <c r="H49" s="33" t="s">
        <v>594</v>
      </c>
      <c r="I49" s="33" t="s">
        <v>593</v>
      </c>
    </row>
    <row r="50" spans="1:9" ht="14.5">
      <c r="A50" s="33" t="s">
        <v>485</v>
      </c>
      <c r="B50" s="33" t="s">
        <v>31</v>
      </c>
      <c r="C50" s="33" t="s">
        <v>323</v>
      </c>
      <c r="D50" s="33" t="s">
        <v>482</v>
      </c>
      <c r="E50" s="34" t="s">
        <v>326</v>
      </c>
      <c r="F50" s="35"/>
      <c r="G50" s="33" t="s">
        <v>595</v>
      </c>
      <c r="H50" s="33" t="s">
        <v>596</v>
      </c>
      <c r="I50" s="33" t="s">
        <v>593</v>
      </c>
    </row>
    <row r="51" spans="1:9" ht="14.5">
      <c r="A51" s="33" t="s">
        <v>485</v>
      </c>
      <c r="B51" s="33" t="s">
        <v>31</v>
      </c>
      <c r="C51" s="33" t="s">
        <v>327</v>
      </c>
      <c r="D51" s="33" t="s">
        <v>482</v>
      </c>
      <c r="E51" s="34" t="s">
        <v>332</v>
      </c>
      <c r="F51" s="35"/>
      <c r="G51" s="33" t="s">
        <v>328</v>
      </c>
      <c r="H51" s="33" t="s">
        <v>597</v>
      </c>
      <c r="I51" s="33" t="s">
        <v>598</v>
      </c>
    </row>
    <row r="52" spans="1:9" ht="14.5">
      <c r="A52" s="33" t="s">
        <v>485</v>
      </c>
      <c r="B52" s="33" t="s">
        <v>31</v>
      </c>
      <c r="C52" s="33" t="s">
        <v>333</v>
      </c>
      <c r="D52" s="33" t="s">
        <v>482</v>
      </c>
      <c r="E52" s="34" t="s">
        <v>338</v>
      </c>
      <c r="F52" s="35"/>
      <c r="G52" s="33" t="s">
        <v>599</v>
      </c>
      <c r="H52" s="33" t="s">
        <v>600</v>
      </c>
      <c r="I52" s="33" t="s">
        <v>601</v>
      </c>
    </row>
    <row r="53" spans="1:9" ht="14.5">
      <c r="A53" s="33" t="s">
        <v>485</v>
      </c>
      <c r="B53" s="33" t="s">
        <v>31</v>
      </c>
      <c r="C53" s="33" t="s">
        <v>339</v>
      </c>
      <c r="D53" s="33" t="s">
        <v>482</v>
      </c>
      <c r="E53" s="34" t="s">
        <v>344</v>
      </c>
      <c r="F53" s="35"/>
      <c r="G53" s="33" t="s">
        <v>599</v>
      </c>
      <c r="H53" s="33" t="s">
        <v>602</v>
      </c>
      <c r="I53" s="33" t="s">
        <v>601</v>
      </c>
    </row>
    <row r="54" spans="1:9" ht="14.5">
      <c r="A54" s="33" t="s">
        <v>485</v>
      </c>
      <c r="B54" s="33" t="s">
        <v>31</v>
      </c>
      <c r="C54" s="33" t="s">
        <v>345</v>
      </c>
      <c r="D54" s="33" t="s">
        <v>482</v>
      </c>
      <c r="E54" s="34" t="s">
        <v>351</v>
      </c>
      <c r="F54" s="35"/>
      <c r="G54" s="33" t="s">
        <v>346</v>
      </c>
      <c r="H54" s="33" t="s">
        <v>603</v>
      </c>
      <c r="I54" s="33" t="s">
        <v>604</v>
      </c>
    </row>
    <row r="55" spans="1:9" ht="14.5">
      <c r="A55" s="33" t="s">
        <v>485</v>
      </c>
      <c r="B55" s="33" t="s">
        <v>31</v>
      </c>
      <c r="C55" s="33" t="s">
        <v>352</v>
      </c>
      <c r="D55" s="33" t="s">
        <v>605</v>
      </c>
      <c r="E55" s="34" t="s">
        <v>356</v>
      </c>
      <c r="F55" s="35"/>
      <c r="G55" s="33" t="s">
        <v>606</v>
      </c>
      <c r="H55" s="33" t="s">
        <v>607</v>
      </c>
      <c r="I55" s="33" t="s">
        <v>608</v>
      </c>
    </row>
    <row r="56" spans="1:9" ht="14.5">
      <c r="A56" s="33" t="s">
        <v>485</v>
      </c>
      <c r="B56" s="33" t="s">
        <v>31</v>
      </c>
      <c r="C56" s="33" t="s">
        <v>609</v>
      </c>
      <c r="D56" s="33" t="s">
        <v>605</v>
      </c>
      <c r="E56" s="34" t="s">
        <v>610</v>
      </c>
      <c r="F56" s="35"/>
      <c r="G56" s="33" t="s">
        <v>611</v>
      </c>
      <c r="H56" s="33" t="s">
        <v>612</v>
      </c>
      <c r="I56" s="33" t="s">
        <v>608</v>
      </c>
    </row>
    <row r="57" spans="1:9" ht="14.5">
      <c r="A57" s="33" t="s">
        <v>485</v>
      </c>
      <c r="B57" s="33" t="s">
        <v>31</v>
      </c>
      <c r="C57" s="33" t="s">
        <v>613</v>
      </c>
      <c r="D57" s="33" t="s">
        <v>605</v>
      </c>
      <c r="E57" s="34" t="s">
        <v>614</v>
      </c>
      <c r="F57" s="35"/>
      <c r="G57" s="33" t="s">
        <v>615</v>
      </c>
      <c r="H57" s="33" t="s">
        <v>616</v>
      </c>
      <c r="I57" s="33" t="s">
        <v>608</v>
      </c>
    </row>
    <row r="58" spans="1:9" ht="14.5">
      <c r="A58" s="33" t="s">
        <v>617</v>
      </c>
      <c r="B58" s="33" t="s">
        <v>31</v>
      </c>
      <c r="C58" s="33" t="s">
        <v>369</v>
      </c>
      <c r="D58" s="33" t="s">
        <v>482</v>
      </c>
      <c r="E58" s="34" t="s">
        <v>375</v>
      </c>
      <c r="F58" s="35"/>
      <c r="G58" s="33" t="s">
        <v>370</v>
      </c>
      <c r="H58" s="33" t="s">
        <v>618</v>
      </c>
      <c r="I58" s="33" t="s">
        <v>619</v>
      </c>
    </row>
    <row r="59" spans="1:9" ht="14.5">
      <c r="A59" s="33" t="s">
        <v>485</v>
      </c>
      <c r="B59" s="33" t="s">
        <v>31</v>
      </c>
      <c r="C59" s="37" t="s">
        <v>376</v>
      </c>
      <c r="D59" s="33" t="s">
        <v>482</v>
      </c>
      <c r="E59" s="34" t="s">
        <v>380</v>
      </c>
      <c r="F59" s="35"/>
      <c r="G59" s="33" t="s">
        <v>370</v>
      </c>
      <c r="H59" s="33" t="s">
        <v>620</v>
      </c>
      <c r="I59" s="33" t="s">
        <v>619</v>
      </c>
    </row>
    <row r="60" spans="1:9" ht="14.5">
      <c r="A60" s="33" t="s">
        <v>485</v>
      </c>
      <c r="B60" s="33" t="s">
        <v>31</v>
      </c>
      <c r="C60" s="33" t="s">
        <v>381</v>
      </c>
      <c r="D60" s="33" t="s">
        <v>482</v>
      </c>
      <c r="E60" s="34" t="s">
        <v>385</v>
      </c>
      <c r="F60" s="35"/>
      <c r="G60" s="33" t="s">
        <v>382</v>
      </c>
      <c r="H60" s="33" t="s">
        <v>621</v>
      </c>
      <c r="I60" s="33" t="s">
        <v>622</v>
      </c>
    </row>
    <row r="61" spans="1:9" ht="14.5">
      <c r="A61" s="33" t="s">
        <v>485</v>
      </c>
      <c r="B61" s="33" t="s">
        <v>31</v>
      </c>
      <c r="C61" s="33" t="s">
        <v>386</v>
      </c>
      <c r="D61" s="33" t="s">
        <v>623</v>
      </c>
      <c r="E61" s="34" t="s">
        <v>391</v>
      </c>
      <c r="F61" s="35"/>
      <c r="G61" s="33" t="s">
        <v>387</v>
      </c>
      <c r="H61" s="33" t="s">
        <v>624</v>
      </c>
      <c r="I61" s="33" t="s">
        <v>625</v>
      </c>
    </row>
    <row r="62" spans="1:9" ht="14.5">
      <c r="A62" s="33" t="s">
        <v>490</v>
      </c>
      <c r="B62" s="33" t="s">
        <v>31</v>
      </c>
      <c r="C62" s="33" t="s">
        <v>393</v>
      </c>
      <c r="D62" s="33" t="s">
        <v>623</v>
      </c>
      <c r="E62" s="34" t="s">
        <v>626</v>
      </c>
      <c r="F62" s="35"/>
      <c r="G62" s="33" t="s">
        <v>394</v>
      </c>
      <c r="H62" s="33" t="s">
        <v>627</v>
      </c>
      <c r="I62" s="33" t="s">
        <v>628</v>
      </c>
    </row>
    <row r="63" spans="1:9" ht="14.5">
      <c r="A63" s="33" t="s">
        <v>490</v>
      </c>
      <c r="B63" s="33" t="s">
        <v>31</v>
      </c>
      <c r="C63" s="33" t="s">
        <v>400</v>
      </c>
      <c r="D63" s="33" t="s">
        <v>623</v>
      </c>
      <c r="E63" s="34" t="s">
        <v>629</v>
      </c>
      <c r="F63" s="35"/>
      <c r="G63" s="33" t="s">
        <v>401</v>
      </c>
      <c r="H63" s="33" t="s">
        <v>630</v>
      </c>
      <c r="I63" s="33" t="s">
        <v>631</v>
      </c>
    </row>
    <row r="64" spans="1:9" ht="14.5">
      <c r="A64" s="33" t="s">
        <v>481</v>
      </c>
      <c r="B64" s="33" t="s">
        <v>31</v>
      </c>
      <c r="C64" s="33" t="s">
        <v>407</v>
      </c>
      <c r="D64" s="33" t="s">
        <v>632</v>
      </c>
      <c r="E64" s="34" t="s">
        <v>633</v>
      </c>
      <c r="F64" s="35"/>
      <c r="G64" s="33" t="s">
        <v>634</v>
      </c>
      <c r="H64" s="33" t="s">
        <v>635</v>
      </c>
      <c r="I64" s="33" t="s">
        <v>636</v>
      </c>
    </row>
    <row r="65" spans="1:9" ht="14.5">
      <c r="A65" s="33" t="s">
        <v>485</v>
      </c>
      <c r="B65" s="33" t="s">
        <v>31</v>
      </c>
      <c r="C65" s="36" t="s">
        <v>411</v>
      </c>
      <c r="D65" s="33" t="s">
        <v>637</v>
      </c>
      <c r="E65" s="33" t="s">
        <v>638</v>
      </c>
      <c r="F65" s="35"/>
      <c r="G65" s="33" t="s">
        <v>639</v>
      </c>
      <c r="H65" s="33" t="s">
        <v>640</v>
      </c>
      <c r="I65" s="33" t="s">
        <v>641</v>
      </c>
    </row>
    <row r="66" spans="1:9" ht="14.5">
      <c r="A66" s="33" t="s">
        <v>490</v>
      </c>
      <c r="B66" s="33" t="s">
        <v>642</v>
      </c>
      <c r="C66" s="33" t="s">
        <v>643</v>
      </c>
      <c r="D66" s="33" t="s">
        <v>644</v>
      </c>
      <c r="E66" s="34" t="s">
        <v>645</v>
      </c>
      <c r="F66" s="35"/>
      <c r="G66" s="33" t="s">
        <v>646</v>
      </c>
      <c r="H66" s="33" t="s">
        <v>647</v>
      </c>
      <c r="I66" s="33" t="s">
        <v>648</v>
      </c>
    </row>
    <row r="67" spans="1:9" ht="14.5">
      <c r="A67" s="33" t="s">
        <v>490</v>
      </c>
      <c r="B67" s="37" t="s">
        <v>642</v>
      </c>
      <c r="C67" s="37" t="s">
        <v>649</v>
      </c>
      <c r="D67" s="33" t="s">
        <v>650</v>
      </c>
      <c r="E67" s="34" t="s">
        <v>651</v>
      </c>
      <c r="F67" s="35"/>
      <c r="G67" s="33" t="s">
        <v>652</v>
      </c>
      <c r="H67" s="33" t="s">
        <v>653</v>
      </c>
      <c r="I67" s="37" t="s">
        <v>654</v>
      </c>
    </row>
    <row r="68" spans="1:9" ht="14.5">
      <c r="A68" s="33" t="s">
        <v>490</v>
      </c>
      <c r="B68" s="33" t="s">
        <v>642</v>
      </c>
      <c r="C68" s="33" t="s">
        <v>655</v>
      </c>
      <c r="D68" s="33" t="s">
        <v>656</v>
      </c>
      <c r="E68" s="34" t="s">
        <v>657</v>
      </c>
      <c r="F68" s="35"/>
      <c r="G68" s="33" t="s">
        <v>658</v>
      </c>
      <c r="H68" s="33" t="s">
        <v>659</v>
      </c>
      <c r="I68" s="33" t="s">
        <v>660</v>
      </c>
    </row>
    <row r="69" spans="1:9" ht="14.5">
      <c r="A69" s="33" t="s">
        <v>490</v>
      </c>
      <c r="B69" s="33" t="s">
        <v>642</v>
      </c>
      <c r="C69" s="33" t="s">
        <v>661</v>
      </c>
      <c r="D69" s="33" t="s">
        <v>662</v>
      </c>
      <c r="E69" s="34" t="s">
        <v>663</v>
      </c>
      <c r="F69" s="35"/>
      <c r="G69" s="33" t="s">
        <v>664</v>
      </c>
      <c r="H69" s="33" t="s">
        <v>665</v>
      </c>
      <c r="I69" s="33" t="s">
        <v>666</v>
      </c>
    </row>
    <row r="70" spans="1:9" ht="14.5">
      <c r="A70" s="33" t="s">
        <v>490</v>
      </c>
      <c r="B70" s="33" t="s">
        <v>642</v>
      </c>
      <c r="C70" s="33" t="s">
        <v>667</v>
      </c>
      <c r="D70" s="33" t="s">
        <v>668</v>
      </c>
      <c r="E70" s="34" t="s">
        <v>669</v>
      </c>
      <c r="F70" s="35"/>
      <c r="G70" s="33" t="s">
        <v>670</v>
      </c>
      <c r="H70" s="33" t="s">
        <v>671</v>
      </c>
      <c r="I70" s="33" t="s">
        <v>672</v>
      </c>
    </row>
    <row r="71" spans="1:9" ht="14.5">
      <c r="A71" s="33" t="s">
        <v>490</v>
      </c>
      <c r="B71" s="33" t="s">
        <v>642</v>
      </c>
      <c r="C71" s="33" t="s">
        <v>673</v>
      </c>
      <c r="D71" s="33" t="s">
        <v>674</v>
      </c>
      <c r="E71" s="34" t="s">
        <v>675</v>
      </c>
      <c r="F71" s="35"/>
      <c r="G71" s="33" t="s">
        <v>676</v>
      </c>
      <c r="H71" s="33" t="s">
        <v>677</v>
      </c>
      <c r="I71" s="33" t="s">
        <v>678</v>
      </c>
    </row>
    <row r="72" spans="1:9" ht="14.5">
      <c r="A72" s="33" t="s">
        <v>490</v>
      </c>
      <c r="B72" s="33" t="s">
        <v>642</v>
      </c>
      <c r="C72" s="33" t="s">
        <v>679</v>
      </c>
      <c r="D72" s="33" t="s">
        <v>680</v>
      </c>
      <c r="E72" s="34" t="s">
        <v>681</v>
      </c>
      <c r="F72" s="35"/>
      <c r="G72" s="33" t="s">
        <v>682</v>
      </c>
      <c r="H72" s="33" t="s">
        <v>683</v>
      </c>
      <c r="I72" s="33" t="s">
        <v>684</v>
      </c>
    </row>
    <row r="73" spans="1:9" ht="14.5">
      <c r="A73" s="33" t="s">
        <v>490</v>
      </c>
      <c r="B73" s="33" t="s">
        <v>642</v>
      </c>
      <c r="C73" s="40" t="s">
        <v>685</v>
      </c>
      <c r="D73" s="33" t="s">
        <v>686</v>
      </c>
      <c r="E73" s="41" t="s">
        <v>687</v>
      </c>
      <c r="F73" s="35"/>
      <c r="G73" s="33" t="s">
        <v>688</v>
      </c>
      <c r="H73" s="33" t="s">
        <v>689</v>
      </c>
      <c r="I73" s="33" t="s">
        <v>690</v>
      </c>
    </row>
    <row r="74" spans="1:9" ht="14.5">
      <c r="A74" s="33" t="s">
        <v>490</v>
      </c>
      <c r="B74" s="33" t="s">
        <v>642</v>
      </c>
      <c r="C74" s="40" t="s">
        <v>691</v>
      </c>
      <c r="D74" s="33" t="s">
        <v>686</v>
      </c>
      <c r="E74" s="41" t="s">
        <v>692</v>
      </c>
      <c r="F74" s="35"/>
      <c r="G74" s="33" t="s">
        <v>693</v>
      </c>
      <c r="H74" s="33" t="s">
        <v>694</v>
      </c>
      <c r="I74" s="33" t="s">
        <v>695</v>
      </c>
    </row>
    <row r="75" spans="1:9" ht="14.5">
      <c r="A75" s="33" t="s">
        <v>490</v>
      </c>
      <c r="B75" s="33" t="s">
        <v>31</v>
      </c>
      <c r="C75" s="33" t="s">
        <v>422</v>
      </c>
      <c r="D75" s="33" t="s">
        <v>686</v>
      </c>
      <c r="E75" s="41" t="s">
        <v>428</v>
      </c>
      <c r="F75" s="35"/>
      <c r="G75" s="33" t="s">
        <v>423</v>
      </c>
      <c r="H75" s="33" t="s">
        <v>696</v>
      </c>
      <c r="I75" s="33" t="s">
        <v>697</v>
      </c>
    </row>
    <row r="76" spans="1:9" ht="14.5">
      <c r="A76" s="33" t="s">
        <v>490</v>
      </c>
      <c r="B76" s="33" t="s">
        <v>642</v>
      </c>
      <c r="C76" s="33" t="s">
        <v>698</v>
      </c>
      <c r="D76" s="33" t="s">
        <v>699</v>
      </c>
      <c r="E76" s="41" t="s">
        <v>700</v>
      </c>
      <c r="F76" s="35"/>
      <c r="G76" s="33" t="s">
        <v>701</v>
      </c>
      <c r="H76" s="33" t="s">
        <v>702</v>
      </c>
      <c r="I76" s="33" t="s">
        <v>703</v>
      </c>
    </row>
    <row r="77" spans="1:9" ht="14.5">
      <c r="A77" s="33" t="s">
        <v>490</v>
      </c>
      <c r="B77" s="33" t="s">
        <v>642</v>
      </c>
      <c r="C77" s="40" t="s">
        <v>704</v>
      </c>
      <c r="D77" s="33" t="s">
        <v>705</v>
      </c>
      <c r="E77" s="41" t="s">
        <v>706</v>
      </c>
      <c r="F77" s="35"/>
      <c r="G77" s="33" t="s">
        <v>707</v>
      </c>
      <c r="H77" s="33" t="s">
        <v>708</v>
      </c>
      <c r="I77" s="33" t="s">
        <v>709</v>
      </c>
    </row>
    <row r="78" spans="1:9" ht="14.5">
      <c r="A78" s="33" t="s">
        <v>490</v>
      </c>
      <c r="B78" s="33" t="s">
        <v>642</v>
      </c>
      <c r="C78" s="40" t="s">
        <v>710</v>
      </c>
      <c r="D78" s="33" t="s">
        <v>711</v>
      </c>
      <c r="E78" s="41" t="s">
        <v>712</v>
      </c>
      <c r="F78" s="35"/>
      <c r="G78" s="33" t="s">
        <v>713</v>
      </c>
      <c r="H78" s="33" t="s">
        <v>714</v>
      </c>
      <c r="I78" s="33" t="s">
        <v>715</v>
      </c>
    </row>
    <row r="79" spans="1:9" ht="14.5">
      <c r="A79" s="33" t="s">
        <v>490</v>
      </c>
      <c r="B79" s="33" t="s">
        <v>642</v>
      </c>
      <c r="C79" s="40" t="s">
        <v>716</v>
      </c>
      <c r="D79" s="33" t="s">
        <v>717</v>
      </c>
      <c r="E79" s="41" t="s">
        <v>718</v>
      </c>
      <c r="F79" s="35"/>
      <c r="G79" s="33" t="s">
        <v>719</v>
      </c>
      <c r="H79" s="33" t="s">
        <v>720</v>
      </c>
      <c r="I79" s="33" t="s">
        <v>721</v>
      </c>
    </row>
    <row r="80" spans="1:9" ht="14.5">
      <c r="A80" s="33" t="s">
        <v>490</v>
      </c>
      <c r="B80" s="33" t="s">
        <v>642</v>
      </c>
      <c r="C80" s="40" t="s">
        <v>722</v>
      </c>
      <c r="D80" s="33" t="s">
        <v>723</v>
      </c>
      <c r="E80" s="33" t="s">
        <v>724</v>
      </c>
      <c r="F80" s="35"/>
      <c r="G80" s="33" t="s">
        <v>725</v>
      </c>
      <c r="H80" s="33" t="s">
        <v>726</v>
      </c>
      <c r="I80" s="33" t="s">
        <v>727</v>
      </c>
    </row>
    <row r="81" spans="1:9" ht="14.5">
      <c r="A81" s="33" t="s">
        <v>490</v>
      </c>
      <c r="B81" s="33" t="s">
        <v>642</v>
      </c>
      <c r="C81" s="40" t="s">
        <v>728</v>
      </c>
      <c r="D81" s="33" t="s">
        <v>729</v>
      </c>
      <c r="E81" s="41" t="s">
        <v>730</v>
      </c>
      <c r="F81" s="35"/>
      <c r="G81" s="33" t="s">
        <v>731</v>
      </c>
      <c r="H81" s="33" t="s">
        <v>732</v>
      </c>
      <c r="I81" s="33" t="s">
        <v>733</v>
      </c>
    </row>
    <row r="82" spans="1:9" ht="14.5">
      <c r="A82" s="33" t="s">
        <v>490</v>
      </c>
      <c r="B82" s="33" t="s">
        <v>642</v>
      </c>
      <c r="C82" s="40" t="s">
        <v>734</v>
      </c>
      <c r="D82" s="33" t="s">
        <v>735</v>
      </c>
      <c r="E82" s="33" t="s">
        <v>736</v>
      </c>
      <c r="F82" s="35"/>
      <c r="G82" s="33" t="s">
        <v>737</v>
      </c>
      <c r="H82" s="33" t="s">
        <v>738</v>
      </c>
      <c r="I82" s="33" t="s">
        <v>739</v>
      </c>
    </row>
    <row r="83" spans="1:9" ht="14.5">
      <c r="A83" s="33" t="s">
        <v>490</v>
      </c>
      <c r="B83" s="33" t="s">
        <v>642</v>
      </c>
      <c r="C83" s="33" t="s">
        <v>740</v>
      </c>
      <c r="D83" s="33" t="s">
        <v>741</v>
      </c>
      <c r="E83" s="34" t="s">
        <v>742</v>
      </c>
      <c r="F83" s="35"/>
      <c r="G83" s="33" t="s">
        <v>743</v>
      </c>
      <c r="H83" s="33" t="s">
        <v>744</v>
      </c>
      <c r="I83" s="33" t="s">
        <v>745</v>
      </c>
    </row>
    <row r="84" spans="1:9" ht="14.5">
      <c r="A84" s="33" t="s">
        <v>490</v>
      </c>
      <c r="B84" s="33" t="s">
        <v>642</v>
      </c>
      <c r="C84" s="33" t="s">
        <v>746</v>
      </c>
      <c r="D84" s="33" t="s">
        <v>741</v>
      </c>
      <c r="E84" s="34" t="s">
        <v>747</v>
      </c>
      <c r="F84" s="35"/>
      <c r="G84" s="33" t="s">
        <v>748</v>
      </c>
      <c r="H84" s="33" t="s">
        <v>749</v>
      </c>
      <c r="I84" s="33" t="s">
        <v>750</v>
      </c>
    </row>
    <row r="85" spans="1:9" ht="14.5">
      <c r="A85" s="33" t="s">
        <v>490</v>
      </c>
      <c r="B85" s="33" t="s">
        <v>642</v>
      </c>
      <c r="C85" s="33" t="s">
        <v>751</v>
      </c>
      <c r="D85" s="33" t="s">
        <v>752</v>
      </c>
      <c r="E85" s="41" t="s">
        <v>753</v>
      </c>
      <c r="F85" s="35"/>
      <c r="G85" s="33" t="s">
        <v>754</v>
      </c>
      <c r="H85" s="33" t="s">
        <v>755</v>
      </c>
      <c r="I85" s="33" t="s">
        <v>756</v>
      </c>
    </row>
    <row r="86" spans="1:9" ht="14.5">
      <c r="A86" s="33" t="s">
        <v>490</v>
      </c>
      <c r="B86" s="33" t="s">
        <v>642</v>
      </c>
      <c r="C86" s="33" t="s">
        <v>757</v>
      </c>
      <c r="D86" s="33" t="s">
        <v>758</v>
      </c>
      <c r="E86" s="41" t="s">
        <v>759</v>
      </c>
      <c r="F86" s="35"/>
      <c r="G86" s="33" t="s">
        <v>760</v>
      </c>
      <c r="H86" s="33" t="s">
        <v>761</v>
      </c>
      <c r="I86" s="33" t="s">
        <v>762</v>
      </c>
    </row>
    <row r="87" spans="1:9" ht="14.5">
      <c r="A87" s="33" t="s">
        <v>490</v>
      </c>
      <c r="B87" s="33" t="s">
        <v>642</v>
      </c>
      <c r="C87" s="33" t="s">
        <v>763</v>
      </c>
      <c r="D87" s="33" t="s">
        <v>764</v>
      </c>
      <c r="E87" s="41" t="s">
        <v>765</v>
      </c>
      <c r="F87" s="35"/>
      <c r="G87" s="33" t="s">
        <v>766</v>
      </c>
      <c r="H87" s="33" t="s">
        <v>767</v>
      </c>
      <c r="I87" s="33" t="s">
        <v>768</v>
      </c>
    </row>
    <row r="88" spans="1:9" ht="14.5">
      <c r="A88" s="33" t="s">
        <v>490</v>
      </c>
      <c r="B88" s="33" t="s">
        <v>642</v>
      </c>
      <c r="C88" s="33" t="s">
        <v>769</v>
      </c>
      <c r="D88" s="33" t="s">
        <v>770</v>
      </c>
      <c r="E88" s="34" t="s">
        <v>771</v>
      </c>
      <c r="F88" s="35"/>
      <c r="G88" s="33" t="s">
        <v>772</v>
      </c>
      <c r="H88" s="33" t="s">
        <v>773</v>
      </c>
      <c r="I88" s="33" t="s">
        <v>774</v>
      </c>
    </row>
    <row r="89" spans="1:9" ht="14.5">
      <c r="A89" s="33" t="s">
        <v>490</v>
      </c>
      <c r="B89" s="33" t="s">
        <v>642</v>
      </c>
      <c r="C89" s="33" t="s">
        <v>775</v>
      </c>
      <c r="D89" s="33" t="s">
        <v>770</v>
      </c>
      <c r="E89" s="33" t="s">
        <v>776</v>
      </c>
      <c r="F89" s="35"/>
      <c r="G89" s="33" t="s">
        <v>777</v>
      </c>
      <c r="H89" s="33" t="s">
        <v>778</v>
      </c>
      <c r="I89" s="33" t="s">
        <v>779</v>
      </c>
    </row>
    <row r="90" spans="1:9" ht="14.5">
      <c r="A90" s="33" t="s">
        <v>490</v>
      </c>
      <c r="B90" s="33" t="s">
        <v>642</v>
      </c>
      <c r="C90" s="33" t="s">
        <v>780</v>
      </c>
      <c r="D90" s="33" t="s">
        <v>781</v>
      </c>
      <c r="E90" s="34" t="s">
        <v>782</v>
      </c>
      <c r="F90" s="35"/>
      <c r="G90" s="33" t="s">
        <v>783</v>
      </c>
      <c r="H90" s="33" t="s">
        <v>784</v>
      </c>
      <c r="I90" s="33" t="s">
        <v>785</v>
      </c>
    </row>
    <row r="91" spans="1:9" ht="14.5">
      <c r="A91" s="33" t="s">
        <v>490</v>
      </c>
      <c r="B91" s="33" t="s">
        <v>642</v>
      </c>
      <c r="C91" s="33" t="s">
        <v>786</v>
      </c>
      <c r="D91" s="33" t="s">
        <v>787</v>
      </c>
      <c r="E91" s="34" t="s">
        <v>788</v>
      </c>
      <c r="F91" s="35"/>
      <c r="G91" s="33" t="s">
        <v>789</v>
      </c>
      <c r="H91" s="33" t="s">
        <v>790</v>
      </c>
      <c r="I91" s="33" t="s">
        <v>791</v>
      </c>
    </row>
    <row r="92" spans="1:9" ht="14.5">
      <c r="A92" s="33" t="s">
        <v>490</v>
      </c>
      <c r="B92" s="33" t="s">
        <v>642</v>
      </c>
      <c r="C92" s="33" t="s">
        <v>792</v>
      </c>
      <c r="D92" s="33" t="s">
        <v>793</v>
      </c>
      <c r="E92" s="33" t="s">
        <v>794</v>
      </c>
      <c r="F92" s="35"/>
      <c r="G92" s="33" t="s">
        <v>795</v>
      </c>
      <c r="H92" s="33" t="s">
        <v>796</v>
      </c>
      <c r="I92" s="33" t="s">
        <v>797</v>
      </c>
    </row>
    <row r="93" spans="1:9" ht="14.5">
      <c r="A93" s="33" t="s">
        <v>485</v>
      </c>
      <c r="B93" s="33" t="s">
        <v>31</v>
      </c>
      <c r="C93" s="33" t="s">
        <v>429</v>
      </c>
      <c r="D93" s="33" t="s">
        <v>798</v>
      </c>
      <c r="E93" s="34" t="s">
        <v>432</v>
      </c>
      <c r="F93" s="35"/>
      <c r="G93" s="33" t="s">
        <v>125</v>
      </c>
      <c r="H93" s="33" t="s">
        <v>799</v>
      </c>
      <c r="I93" s="33" t="s">
        <v>524</v>
      </c>
    </row>
    <row r="94" spans="1:9" ht="14.5">
      <c r="A94" s="33" t="s">
        <v>485</v>
      </c>
      <c r="B94" s="33" t="s">
        <v>642</v>
      </c>
      <c r="C94" s="42" t="s">
        <v>800</v>
      </c>
      <c r="D94" s="33" t="s">
        <v>801</v>
      </c>
      <c r="E94" s="34" t="s">
        <v>802</v>
      </c>
      <c r="F94" s="43"/>
      <c r="G94" s="44" t="s">
        <v>803</v>
      </c>
      <c r="H94" s="44" t="s">
        <v>804</v>
      </c>
      <c r="I94" s="33" t="s">
        <v>805</v>
      </c>
    </row>
    <row r="95" spans="1:9" ht="14.5">
      <c r="A95" s="33" t="s">
        <v>490</v>
      </c>
      <c r="B95" s="33" t="s">
        <v>642</v>
      </c>
      <c r="C95" s="33" t="s">
        <v>806</v>
      </c>
      <c r="D95" s="33" t="s">
        <v>807</v>
      </c>
      <c r="E95" s="45" t="s">
        <v>808</v>
      </c>
      <c r="F95" s="35"/>
      <c r="G95" s="33" t="s">
        <v>809</v>
      </c>
      <c r="H95" s="33" t="s">
        <v>810</v>
      </c>
      <c r="I95" s="33" t="s">
        <v>811</v>
      </c>
    </row>
    <row r="96" spans="1:9" ht="14.5">
      <c r="A96" s="33" t="s">
        <v>490</v>
      </c>
      <c r="B96" s="33" t="s">
        <v>642</v>
      </c>
      <c r="C96" s="33" t="s">
        <v>812</v>
      </c>
      <c r="D96" s="46">
        <v>43906</v>
      </c>
      <c r="E96" s="45" t="s">
        <v>813</v>
      </c>
      <c r="F96" s="35"/>
      <c r="G96" s="33" t="s">
        <v>814</v>
      </c>
      <c r="H96" s="33" t="s">
        <v>815</v>
      </c>
      <c r="I96" s="33" t="s">
        <v>816</v>
      </c>
    </row>
    <row r="97" spans="1:9" ht="14.5">
      <c r="A97" s="33" t="s">
        <v>485</v>
      </c>
      <c r="B97" s="33" t="s">
        <v>31</v>
      </c>
      <c r="C97" s="33" t="s">
        <v>817</v>
      </c>
      <c r="D97" s="46">
        <v>43952</v>
      </c>
      <c r="E97" s="41" t="s">
        <v>818</v>
      </c>
      <c r="F97" s="35"/>
      <c r="G97" s="33" t="s">
        <v>819</v>
      </c>
      <c r="H97" s="33" t="s">
        <v>820</v>
      </c>
      <c r="I97" s="33" t="s">
        <v>821</v>
      </c>
    </row>
    <row r="98" spans="1:9" ht="14.5">
      <c r="A98" s="33" t="s">
        <v>485</v>
      </c>
      <c r="B98" s="33" t="s">
        <v>642</v>
      </c>
      <c r="C98" s="33" t="s">
        <v>822</v>
      </c>
      <c r="D98" s="46">
        <v>43993</v>
      </c>
      <c r="E98" s="41" t="s">
        <v>823</v>
      </c>
      <c r="F98" s="35"/>
      <c r="G98" s="33" t="s">
        <v>824</v>
      </c>
      <c r="H98" s="33" t="s">
        <v>825</v>
      </c>
      <c r="I98" s="33" t="s">
        <v>826</v>
      </c>
    </row>
    <row r="99" spans="1:9" ht="14.5">
      <c r="A99" s="33" t="s">
        <v>490</v>
      </c>
      <c r="B99" s="33" t="s">
        <v>642</v>
      </c>
      <c r="C99" s="47" t="s">
        <v>827</v>
      </c>
      <c r="D99" s="46">
        <v>44053</v>
      </c>
      <c r="E99" s="41" t="s">
        <v>828</v>
      </c>
      <c r="F99" s="35"/>
      <c r="G99" s="33" t="s">
        <v>829</v>
      </c>
      <c r="H99" s="33" t="s">
        <v>830</v>
      </c>
      <c r="I99" s="33" t="s">
        <v>831</v>
      </c>
    </row>
    <row r="100" spans="1:9" ht="14.5">
      <c r="A100" s="33" t="s">
        <v>490</v>
      </c>
      <c r="B100" s="33" t="s">
        <v>642</v>
      </c>
      <c r="C100" s="33" t="s">
        <v>832</v>
      </c>
      <c r="D100" s="46">
        <v>44053</v>
      </c>
      <c r="E100" s="41" t="s">
        <v>833</v>
      </c>
      <c r="F100" s="48"/>
      <c r="G100" s="37" t="s">
        <v>834</v>
      </c>
      <c r="H100" s="33" t="s">
        <v>835</v>
      </c>
      <c r="I100" s="33" t="s">
        <v>836</v>
      </c>
    </row>
    <row r="101" spans="1:9" ht="14.5">
      <c r="A101" s="33" t="s">
        <v>485</v>
      </c>
      <c r="B101" s="33" t="s">
        <v>642</v>
      </c>
      <c r="C101" s="33" t="s">
        <v>837</v>
      </c>
      <c r="D101" s="46">
        <v>44096</v>
      </c>
      <c r="E101" s="45" t="s">
        <v>838</v>
      </c>
      <c r="F101" s="35"/>
      <c r="G101" s="33" t="s">
        <v>839</v>
      </c>
      <c r="H101" s="33" t="s">
        <v>840</v>
      </c>
      <c r="I101" s="33" t="s">
        <v>841</v>
      </c>
    </row>
    <row r="102" spans="1:9" ht="14.5">
      <c r="A102" s="33" t="s">
        <v>485</v>
      </c>
      <c r="B102" s="33" t="s">
        <v>642</v>
      </c>
      <c r="C102" s="33" t="s">
        <v>842</v>
      </c>
      <c r="D102" s="46">
        <v>44105</v>
      </c>
      <c r="E102" s="41" t="s">
        <v>843</v>
      </c>
      <c r="F102" s="35"/>
      <c r="G102" s="33" t="s">
        <v>844</v>
      </c>
      <c r="H102" s="33" t="s">
        <v>845</v>
      </c>
      <c r="I102" s="33" t="s">
        <v>846</v>
      </c>
    </row>
    <row r="103" spans="1:9" ht="14.5">
      <c r="A103" s="33" t="s">
        <v>847</v>
      </c>
      <c r="B103" s="33" t="s">
        <v>642</v>
      </c>
      <c r="C103" s="33" t="s">
        <v>848</v>
      </c>
      <c r="D103" s="33" t="s">
        <v>849</v>
      </c>
      <c r="E103" s="45" t="s">
        <v>850</v>
      </c>
      <c r="F103" s="49"/>
      <c r="G103" s="50" t="s">
        <v>851</v>
      </c>
      <c r="H103" s="33" t="s">
        <v>852</v>
      </c>
      <c r="I103" s="35"/>
    </row>
    <row r="104" spans="1:9" ht="14.5">
      <c r="A104" s="33" t="s">
        <v>490</v>
      </c>
      <c r="B104" s="33" t="s">
        <v>642</v>
      </c>
      <c r="C104" s="33" t="s">
        <v>853</v>
      </c>
      <c r="D104" s="46">
        <v>44200</v>
      </c>
      <c r="E104" s="45" t="s">
        <v>854</v>
      </c>
      <c r="F104" s="49"/>
      <c r="G104" s="50" t="s">
        <v>855</v>
      </c>
      <c r="H104" s="33" t="s">
        <v>856</v>
      </c>
      <c r="I104" s="33" t="s">
        <v>857</v>
      </c>
    </row>
    <row r="105" spans="1:9" ht="14.5">
      <c r="A105" s="33" t="s">
        <v>490</v>
      </c>
      <c r="B105" s="33" t="s">
        <v>642</v>
      </c>
      <c r="C105" s="33" t="s">
        <v>858</v>
      </c>
      <c r="D105" s="33" t="s">
        <v>859</v>
      </c>
      <c r="E105" s="41" t="s">
        <v>860</v>
      </c>
      <c r="F105" s="35"/>
      <c r="G105" s="33" t="s">
        <v>861</v>
      </c>
      <c r="H105" s="33" t="s">
        <v>862</v>
      </c>
      <c r="I105" s="33" t="s">
        <v>863</v>
      </c>
    </row>
    <row r="106" spans="1:9" ht="14.5">
      <c r="A106" s="33" t="s">
        <v>864</v>
      </c>
      <c r="B106" s="33" t="s">
        <v>31</v>
      </c>
      <c r="C106" s="40" t="s">
        <v>440</v>
      </c>
      <c r="D106" s="33" t="s">
        <v>865</v>
      </c>
      <c r="E106" s="45" t="s">
        <v>444</v>
      </c>
      <c r="F106" s="35"/>
      <c r="G106" s="33" t="s">
        <v>866</v>
      </c>
      <c r="H106" s="33" t="s">
        <v>867</v>
      </c>
      <c r="I106" s="33" t="s">
        <v>868</v>
      </c>
    </row>
    <row r="107" spans="1:9" ht="14.5">
      <c r="A107" s="33" t="s">
        <v>864</v>
      </c>
      <c r="B107" s="33" t="s">
        <v>31</v>
      </c>
      <c r="C107" s="40" t="s">
        <v>445</v>
      </c>
      <c r="D107" s="33" t="s">
        <v>865</v>
      </c>
      <c r="E107" s="41" t="s">
        <v>448</v>
      </c>
      <c r="F107" s="35"/>
      <c r="G107" s="33" t="s">
        <v>866</v>
      </c>
      <c r="H107" s="33" t="s">
        <v>867</v>
      </c>
      <c r="I107" s="33" t="s">
        <v>868</v>
      </c>
    </row>
    <row r="108" spans="1:9" ht="14.5">
      <c r="A108" s="33" t="s">
        <v>490</v>
      </c>
      <c r="B108" s="40" t="s">
        <v>642</v>
      </c>
      <c r="C108" s="42" t="s">
        <v>869</v>
      </c>
      <c r="D108" s="51">
        <v>44184</v>
      </c>
      <c r="E108" s="52" t="s">
        <v>870</v>
      </c>
      <c r="F108" s="43"/>
      <c r="G108" s="44" t="s">
        <v>871</v>
      </c>
      <c r="H108" s="53" t="s">
        <v>872</v>
      </c>
      <c r="I108" s="44" t="s">
        <v>873</v>
      </c>
    </row>
    <row r="109" spans="1:9" ht="14.5">
      <c r="A109" s="33" t="s">
        <v>485</v>
      </c>
      <c r="B109" s="33" t="s">
        <v>31</v>
      </c>
      <c r="C109" s="54" t="s">
        <v>449</v>
      </c>
      <c r="D109" s="46">
        <v>44256</v>
      </c>
      <c r="E109" s="34" t="s">
        <v>221</v>
      </c>
      <c r="F109" s="43"/>
      <c r="G109" s="44" t="s">
        <v>874</v>
      </c>
      <c r="H109" s="44" t="s">
        <v>875</v>
      </c>
      <c r="I109" s="55"/>
    </row>
    <row r="110" spans="1:9" ht="14.5">
      <c r="A110" s="33" t="s">
        <v>485</v>
      </c>
      <c r="B110" s="33" t="s">
        <v>31</v>
      </c>
      <c r="C110" s="54" t="s">
        <v>450</v>
      </c>
      <c r="D110" s="46">
        <v>44256</v>
      </c>
      <c r="E110" s="34" t="s">
        <v>226</v>
      </c>
      <c r="F110" s="43"/>
      <c r="G110" s="44" t="s">
        <v>874</v>
      </c>
      <c r="H110" s="44" t="s">
        <v>876</v>
      </c>
      <c r="I110" s="55"/>
    </row>
    <row r="111" spans="1:9" ht="14.5">
      <c r="A111" s="33" t="s">
        <v>485</v>
      </c>
      <c r="B111" s="33" t="s">
        <v>31</v>
      </c>
      <c r="C111" s="42" t="s">
        <v>877</v>
      </c>
      <c r="D111" s="46">
        <v>44319</v>
      </c>
      <c r="E111" s="56" t="s">
        <v>878</v>
      </c>
      <c r="F111" s="57"/>
      <c r="G111" s="44" t="s">
        <v>879</v>
      </c>
      <c r="H111" s="44" t="s">
        <v>880</v>
      </c>
      <c r="I111" s="55"/>
    </row>
    <row r="112" spans="1:9" ht="14.5">
      <c r="A112" s="33" t="s">
        <v>485</v>
      </c>
      <c r="B112" s="33" t="s">
        <v>31</v>
      </c>
      <c r="C112" s="42" t="s">
        <v>457</v>
      </c>
      <c r="D112" s="46">
        <v>44319</v>
      </c>
      <c r="E112" s="56" t="s">
        <v>881</v>
      </c>
      <c r="F112" s="43"/>
      <c r="G112" s="44" t="s">
        <v>882</v>
      </c>
      <c r="H112" s="44" t="s">
        <v>883</v>
      </c>
      <c r="I112" s="55"/>
    </row>
    <row r="113" spans="1:9" ht="14.5">
      <c r="A113" s="33" t="s">
        <v>485</v>
      </c>
      <c r="B113" s="33" t="s">
        <v>31</v>
      </c>
      <c r="C113" s="42" t="s">
        <v>884</v>
      </c>
      <c r="D113" s="46">
        <v>44319</v>
      </c>
      <c r="E113" s="44" t="s">
        <v>885</v>
      </c>
      <c r="F113" s="43"/>
      <c r="G113" s="44" t="s">
        <v>886</v>
      </c>
      <c r="H113" s="44" t="s">
        <v>887</v>
      </c>
      <c r="I113" s="55"/>
    </row>
    <row r="114" spans="1:9" ht="14.5">
      <c r="A114" s="33" t="s">
        <v>490</v>
      </c>
      <c r="B114" s="40" t="s">
        <v>642</v>
      </c>
      <c r="C114" s="42" t="s">
        <v>888</v>
      </c>
      <c r="D114" s="44" t="s">
        <v>889</v>
      </c>
      <c r="E114" s="56" t="s">
        <v>890</v>
      </c>
      <c r="F114" s="43"/>
      <c r="G114" s="44" t="s">
        <v>891</v>
      </c>
      <c r="H114" s="44" t="s">
        <v>892</v>
      </c>
      <c r="I114" s="42" t="s">
        <v>893</v>
      </c>
    </row>
    <row r="115" spans="1:9" ht="14.5">
      <c r="A115" s="33" t="s">
        <v>490</v>
      </c>
      <c r="B115" s="40" t="s">
        <v>642</v>
      </c>
      <c r="C115" s="42" t="s">
        <v>894</v>
      </c>
      <c r="D115" s="44" t="s">
        <v>895</v>
      </c>
      <c r="E115" s="58" t="s">
        <v>53</v>
      </c>
      <c r="F115" s="58" t="s">
        <v>52</v>
      </c>
      <c r="G115" s="44" t="s">
        <v>896</v>
      </c>
      <c r="H115" s="44" t="s">
        <v>897</v>
      </c>
      <c r="I115" s="42" t="s">
        <v>898</v>
      </c>
    </row>
    <row r="116" spans="1:9" ht="14.5">
      <c r="A116" s="33" t="s">
        <v>490</v>
      </c>
      <c r="B116" s="40" t="s">
        <v>642</v>
      </c>
      <c r="C116" s="42" t="s">
        <v>899</v>
      </c>
      <c r="D116" s="59">
        <v>44470</v>
      </c>
      <c r="E116" s="56" t="s">
        <v>900</v>
      </c>
      <c r="F116" s="60" t="s">
        <v>901</v>
      </c>
      <c r="G116" s="44" t="s">
        <v>902</v>
      </c>
      <c r="H116" s="44" t="s">
        <v>903</v>
      </c>
      <c r="I116" s="42" t="s">
        <v>904</v>
      </c>
    </row>
    <row r="117" spans="1:9" ht="14.5">
      <c r="A117" s="33" t="s">
        <v>490</v>
      </c>
      <c r="B117" s="40" t="s">
        <v>642</v>
      </c>
      <c r="C117" s="44" t="s">
        <v>905</v>
      </c>
      <c r="D117" s="61">
        <v>44477</v>
      </c>
      <c r="E117" s="56" t="s">
        <v>906</v>
      </c>
      <c r="F117" s="44" t="s">
        <v>907</v>
      </c>
      <c r="G117" s="44" t="s">
        <v>908</v>
      </c>
      <c r="H117" s="44" t="s">
        <v>909</v>
      </c>
      <c r="I117" s="55"/>
    </row>
    <row r="118" spans="1:9" ht="14.5">
      <c r="A118" s="33" t="s">
        <v>485</v>
      </c>
      <c r="B118" s="40" t="s">
        <v>642</v>
      </c>
      <c r="C118" s="42" t="s">
        <v>910</v>
      </c>
      <c r="D118" s="61">
        <v>44485</v>
      </c>
      <c r="E118" s="58" t="s">
        <v>911</v>
      </c>
      <c r="F118" s="44" t="s">
        <v>912</v>
      </c>
      <c r="G118" s="44" t="s">
        <v>913</v>
      </c>
      <c r="H118" s="44" t="s">
        <v>914</v>
      </c>
      <c r="I118" s="44" t="s">
        <v>915</v>
      </c>
    </row>
    <row r="119" spans="1:9" ht="14.5">
      <c r="A119" s="33" t="s">
        <v>485</v>
      </c>
      <c r="B119" s="40" t="s">
        <v>642</v>
      </c>
      <c r="C119" s="42" t="s">
        <v>916</v>
      </c>
      <c r="D119" s="59">
        <v>44600</v>
      </c>
      <c r="E119" s="44" t="s">
        <v>917</v>
      </c>
      <c r="F119" s="44" t="s">
        <v>918</v>
      </c>
      <c r="G119" s="44" t="s">
        <v>918</v>
      </c>
      <c r="H119" s="44" t="s">
        <v>919</v>
      </c>
      <c r="I119" s="44" t="s">
        <v>920</v>
      </c>
    </row>
    <row r="120" spans="1:9" ht="14.5">
      <c r="A120" s="33" t="s">
        <v>490</v>
      </c>
      <c r="B120" s="40" t="s">
        <v>921</v>
      </c>
      <c r="C120" s="42" t="s">
        <v>922</v>
      </c>
      <c r="D120" s="44" t="s">
        <v>923</v>
      </c>
      <c r="E120" s="44" t="s">
        <v>924</v>
      </c>
      <c r="F120" s="44" t="s">
        <v>925</v>
      </c>
      <c r="G120" s="44" t="s">
        <v>925</v>
      </c>
      <c r="H120" s="44" t="s">
        <v>926</v>
      </c>
      <c r="I120" s="55"/>
    </row>
    <row r="121" spans="1:9" ht="14.5">
      <c r="A121" s="33" t="s">
        <v>490</v>
      </c>
      <c r="B121" s="33" t="s">
        <v>927</v>
      </c>
      <c r="C121" s="40" t="s">
        <v>928</v>
      </c>
      <c r="D121" s="46">
        <v>44652</v>
      </c>
      <c r="E121" s="41" t="s">
        <v>929</v>
      </c>
      <c r="F121" s="33" t="s">
        <v>930</v>
      </c>
      <c r="G121" s="33" t="s">
        <v>931</v>
      </c>
      <c r="H121" s="33" t="s">
        <v>932</v>
      </c>
      <c r="I121" s="33" t="s">
        <v>933</v>
      </c>
    </row>
    <row r="122" spans="1:9" ht="14.5">
      <c r="A122" s="33" t="s">
        <v>490</v>
      </c>
      <c r="B122" s="33" t="s">
        <v>927</v>
      </c>
      <c r="C122" s="40" t="s">
        <v>934</v>
      </c>
      <c r="D122" s="46">
        <v>44652</v>
      </c>
      <c r="E122" s="41" t="s">
        <v>935</v>
      </c>
      <c r="F122" s="62" t="s">
        <v>936</v>
      </c>
      <c r="G122" s="33" t="s">
        <v>931</v>
      </c>
      <c r="H122" s="33" t="s">
        <v>932</v>
      </c>
      <c r="I122" s="33" t="s">
        <v>933</v>
      </c>
    </row>
    <row r="123" spans="1:9" ht="14.5">
      <c r="A123" s="63" t="s">
        <v>490</v>
      </c>
      <c r="B123" s="63" t="s">
        <v>927</v>
      </c>
      <c r="C123" s="63" t="s">
        <v>937</v>
      </c>
      <c r="D123" s="59">
        <v>44687</v>
      </c>
      <c r="E123" s="58" t="s">
        <v>938</v>
      </c>
      <c r="F123" s="44" t="s">
        <v>939</v>
      </c>
      <c r="G123" s="44" t="s">
        <v>940</v>
      </c>
      <c r="H123" s="44" t="s">
        <v>941</v>
      </c>
      <c r="I123" s="42" t="s">
        <v>942</v>
      </c>
    </row>
    <row r="124" spans="1:9" ht="14.5">
      <c r="A124" s="33" t="s">
        <v>485</v>
      </c>
      <c r="B124" s="40" t="s">
        <v>642</v>
      </c>
      <c r="C124" s="42" t="s">
        <v>943</v>
      </c>
      <c r="D124" s="59">
        <v>44690</v>
      </c>
      <c r="E124" s="56" t="s">
        <v>944</v>
      </c>
      <c r="F124" s="44" t="s">
        <v>945</v>
      </c>
      <c r="G124" s="44" t="s">
        <v>946</v>
      </c>
      <c r="H124" s="44" t="s">
        <v>947</v>
      </c>
      <c r="I124" s="55"/>
    </row>
    <row r="125" spans="1:9" ht="14.5">
      <c r="A125" s="33" t="s">
        <v>485</v>
      </c>
      <c r="B125" s="40" t="s">
        <v>31</v>
      </c>
      <c r="C125" s="42" t="s">
        <v>467</v>
      </c>
      <c r="D125" s="59">
        <v>44699</v>
      </c>
      <c r="E125" s="56" t="s">
        <v>948</v>
      </c>
      <c r="F125" s="43"/>
      <c r="G125" s="44" t="s">
        <v>468</v>
      </c>
      <c r="H125" s="44" t="s">
        <v>949</v>
      </c>
      <c r="I125" s="44" t="s">
        <v>950</v>
      </c>
    </row>
    <row r="126" spans="1:9" ht="14.5">
      <c r="A126" s="33" t="s">
        <v>490</v>
      </c>
      <c r="B126" s="33" t="s">
        <v>642</v>
      </c>
      <c r="C126" s="33" t="s">
        <v>951</v>
      </c>
      <c r="D126" s="46">
        <v>44713</v>
      </c>
      <c r="E126" s="34" t="s">
        <v>952</v>
      </c>
      <c r="F126" s="33" t="s">
        <v>953</v>
      </c>
      <c r="G126" s="33" t="s">
        <v>954</v>
      </c>
      <c r="H126" s="37" t="s">
        <v>955</v>
      </c>
      <c r="I126" s="33" t="s">
        <v>956</v>
      </c>
    </row>
    <row r="127" spans="1:9" ht="14.5">
      <c r="A127" s="33" t="s">
        <v>490</v>
      </c>
      <c r="B127" s="33" t="s">
        <v>642</v>
      </c>
      <c r="C127" s="33" t="s">
        <v>957</v>
      </c>
      <c r="D127" s="46">
        <v>44743</v>
      </c>
      <c r="E127" s="41" t="s">
        <v>958</v>
      </c>
      <c r="F127" s="33" t="s">
        <v>959</v>
      </c>
      <c r="G127" s="33" t="s">
        <v>960</v>
      </c>
      <c r="H127" s="64" t="s">
        <v>961</v>
      </c>
      <c r="I127" s="65" t="s">
        <v>962</v>
      </c>
    </row>
    <row r="128" spans="1:9" ht="14.5">
      <c r="A128" s="33" t="s">
        <v>490</v>
      </c>
      <c r="B128" s="33" t="s">
        <v>642</v>
      </c>
      <c r="C128" s="33" t="s">
        <v>963</v>
      </c>
      <c r="D128" s="46">
        <v>44743</v>
      </c>
      <c r="E128" s="41" t="s">
        <v>964</v>
      </c>
      <c r="F128" s="33" t="s">
        <v>965</v>
      </c>
      <c r="G128" s="33" t="s">
        <v>960</v>
      </c>
      <c r="H128" s="37" t="s">
        <v>966</v>
      </c>
      <c r="I128" s="65" t="s">
        <v>962</v>
      </c>
    </row>
    <row r="129" spans="1:9" ht="14.5">
      <c r="A129" s="35"/>
      <c r="B129" s="35"/>
      <c r="C129" s="35"/>
      <c r="D129" s="35"/>
      <c r="E129" s="66"/>
      <c r="F129" s="35"/>
      <c r="G129" s="35"/>
      <c r="H129" s="48"/>
      <c r="I129" s="35"/>
    </row>
    <row r="130" spans="1:9" ht="14.5">
      <c r="A130" s="35"/>
      <c r="B130" s="35"/>
      <c r="C130" s="35"/>
      <c r="D130" s="35"/>
      <c r="E130" s="66"/>
      <c r="F130" s="35"/>
      <c r="G130" s="35"/>
      <c r="H130" s="48"/>
      <c r="I130" s="35"/>
    </row>
    <row r="131" spans="1:9" ht="14.5">
      <c r="A131" s="35"/>
      <c r="B131" s="35"/>
      <c r="C131" s="35"/>
      <c r="D131" s="35"/>
      <c r="E131" s="66"/>
      <c r="F131" s="35"/>
      <c r="G131" s="35"/>
      <c r="H131" s="48"/>
      <c r="I131" s="35"/>
    </row>
    <row r="132" spans="1:9" ht="14.5">
      <c r="A132" s="35"/>
      <c r="B132" s="35"/>
      <c r="C132" s="35"/>
      <c r="D132" s="35"/>
      <c r="E132" s="66"/>
      <c r="F132" s="35"/>
      <c r="G132" s="35"/>
      <c r="H132" s="48"/>
      <c r="I132" s="35"/>
    </row>
    <row r="133" spans="1:9" ht="14.5">
      <c r="A133" s="35"/>
      <c r="B133" s="35"/>
      <c r="C133" s="35"/>
      <c r="D133" s="35"/>
      <c r="E133" s="66"/>
      <c r="F133" s="35"/>
      <c r="G133" s="35"/>
      <c r="H133" s="48"/>
      <c r="I133" s="35"/>
    </row>
    <row r="134" spans="1:9" ht="14.5">
      <c r="A134" s="67"/>
      <c r="B134" s="68"/>
      <c r="C134" s="68"/>
      <c r="D134" s="67"/>
      <c r="E134" s="67"/>
      <c r="F134" s="67"/>
      <c r="G134" s="67"/>
      <c r="H134" s="67"/>
      <c r="I134" s="67"/>
    </row>
    <row r="135" spans="1:9" ht="12.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2.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4.5">
      <c r="A137" s="35"/>
      <c r="B137" s="35"/>
      <c r="C137" s="69"/>
      <c r="D137" s="35"/>
      <c r="E137" s="35"/>
      <c r="F137" s="35"/>
      <c r="G137" s="35"/>
      <c r="H137" s="35"/>
      <c r="I137" s="35"/>
    </row>
    <row r="138" spans="1:9" ht="14.5">
      <c r="A138" s="35"/>
      <c r="B138" s="35"/>
      <c r="C138" s="69"/>
      <c r="D138" s="35"/>
      <c r="E138" s="35"/>
      <c r="F138" s="35"/>
      <c r="G138" s="35"/>
      <c r="H138" s="35"/>
      <c r="I138" s="35"/>
    </row>
    <row r="139" spans="1:9" ht="14.5">
      <c r="A139" s="35"/>
      <c r="B139" s="35"/>
      <c r="C139" s="69"/>
      <c r="D139" s="35"/>
      <c r="E139" s="35"/>
      <c r="F139" s="35"/>
      <c r="G139" s="35"/>
      <c r="H139" s="35"/>
      <c r="I139" s="35"/>
    </row>
    <row r="140" spans="1:9" ht="14.5">
      <c r="A140" s="35"/>
      <c r="B140" s="35"/>
      <c r="C140" s="69"/>
      <c r="D140" s="35"/>
      <c r="E140" s="35"/>
      <c r="F140" s="35"/>
      <c r="G140" s="35"/>
      <c r="H140" s="35"/>
      <c r="I140" s="35"/>
    </row>
    <row r="141" spans="1:9" ht="14.5">
      <c r="A141" s="70" t="s">
        <v>967</v>
      </c>
      <c r="B141" s="48"/>
      <c r="C141" s="69"/>
      <c r="D141" s="35"/>
      <c r="E141" s="35"/>
      <c r="F141" s="35"/>
      <c r="G141" s="35"/>
      <c r="H141" s="35"/>
      <c r="I141" s="35"/>
    </row>
    <row r="142" spans="1:9" ht="14.5">
      <c r="A142" s="70" t="s">
        <v>968</v>
      </c>
      <c r="B142" s="35"/>
      <c r="C142" s="69"/>
      <c r="D142" s="35"/>
      <c r="E142" s="35"/>
      <c r="F142" s="35"/>
      <c r="G142" s="35"/>
      <c r="H142" s="35"/>
      <c r="I142" s="35"/>
    </row>
    <row r="143" spans="1:9" ht="14.5">
      <c r="A143" s="35"/>
      <c r="B143" s="35"/>
      <c r="C143" s="69"/>
      <c r="D143" s="35"/>
      <c r="E143" s="35"/>
      <c r="F143" s="35"/>
      <c r="G143" s="35"/>
      <c r="H143" s="35"/>
      <c r="I143" s="35"/>
    </row>
    <row r="144" spans="1:9" ht="14.5">
      <c r="A144" s="71" t="s">
        <v>969</v>
      </c>
      <c r="B144" s="72"/>
      <c r="C144" s="73"/>
      <c r="D144" s="74"/>
      <c r="E144" s="74"/>
      <c r="F144" s="74"/>
      <c r="G144" s="74"/>
      <c r="H144" s="74"/>
      <c r="I144" s="73"/>
    </row>
    <row r="145" spans="1:9" ht="14.5">
      <c r="A145" s="75" t="s">
        <v>970</v>
      </c>
      <c r="B145" s="76"/>
      <c r="C145" s="77"/>
      <c r="D145" s="78"/>
      <c r="E145" s="78"/>
      <c r="F145" s="78"/>
      <c r="G145" s="78"/>
      <c r="H145" s="78"/>
      <c r="I145" s="78"/>
    </row>
    <row r="146" spans="1:9" ht="14.5">
      <c r="A146" s="75" t="s">
        <v>971</v>
      </c>
      <c r="B146" s="76"/>
      <c r="C146" s="77"/>
      <c r="D146" s="76"/>
      <c r="E146" s="76"/>
      <c r="F146" s="76"/>
      <c r="G146" s="76"/>
      <c r="H146" s="76"/>
      <c r="I146" s="76"/>
    </row>
    <row r="147" spans="1:9" ht="14.5">
      <c r="A147" s="35"/>
      <c r="B147" s="35"/>
      <c r="C147" s="69"/>
      <c r="D147" s="35"/>
      <c r="E147" s="35"/>
      <c r="F147" s="35"/>
      <c r="G147" s="35"/>
      <c r="H147" s="35"/>
      <c r="I147" s="35"/>
    </row>
    <row r="148" spans="1:9" ht="14.5">
      <c r="A148" s="79" t="s">
        <v>972</v>
      </c>
      <c r="B148" s="80"/>
      <c r="C148" s="81"/>
      <c r="D148" s="82"/>
      <c r="E148" s="82"/>
      <c r="F148" s="82"/>
      <c r="G148" s="82"/>
      <c r="H148" s="82"/>
      <c r="I148" s="82"/>
    </row>
    <row r="149" spans="1:9" ht="14.5">
      <c r="A149" s="35"/>
      <c r="B149" s="35"/>
      <c r="C149" s="69"/>
      <c r="D149" s="35"/>
      <c r="E149" s="35"/>
      <c r="F149" s="35"/>
      <c r="G149" s="35"/>
      <c r="H149" s="35"/>
      <c r="I149" s="35"/>
    </row>
    <row r="150" spans="1:9" ht="14.5">
      <c r="A150" s="35"/>
      <c r="B150" s="35"/>
      <c r="C150" s="69"/>
      <c r="D150" s="35"/>
      <c r="E150" s="35"/>
      <c r="F150" s="35"/>
      <c r="G150" s="35"/>
      <c r="H150" s="35"/>
      <c r="I150" s="35"/>
    </row>
    <row r="151" spans="1:9" ht="14.5">
      <c r="A151" s="35"/>
      <c r="B151" s="35"/>
      <c r="C151" s="69"/>
      <c r="D151" s="35"/>
      <c r="E151" s="35"/>
      <c r="F151" s="35"/>
      <c r="G151" s="35"/>
      <c r="H151" s="35"/>
      <c r="I151" s="35"/>
    </row>
    <row r="152" spans="1:9" ht="14.5">
      <c r="A152" s="35"/>
      <c r="B152" s="35"/>
      <c r="C152" s="69"/>
      <c r="D152" s="35"/>
      <c r="E152" s="35"/>
      <c r="F152" s="35"/>
      <c r="G152" s="35"/>
      <c r="H152" s="35"/>
      <c r="I152" s="35"/>
    </row>
    <row r="153" spans="1:9" ht="14.5">
      <c r="A153" s="35"/>
      <c r="B153" s="35"/>
      <c r="C153" s="69"/>
      <c r="D153" s="35"/>
      <c r="E153" s="35"/>
      <c r="F153" s="35"/>
      <c r="G153" s="35"/>
      <c r="H153" s="35"/>
      <c r="I153" s="35"/>
    </row>
    <row r="154" spans="1:9" ht="14.5">
      <c r="A154" s="35"/>
      <c r="B154" s="35"/>
      <c r="C154" s="69"/>
      <c r="D154" s="35"/>
      <c r="E154" s="35"/>
      <c r="F154" s="35"/>
      <c r="G154" s="35"/>
      <c r="H154" s="35"/>
      <c r="I154" s="35"/>
    </row>
    <row r="155" spans="1:9" ht="14.5">
      <c r="A155" s="35"/>
      <c r="B155" s="35"/>
      <c r="C155" s="69"/>
      <c r="D155" s="35"/>
      <c r="E155" s="35"/>
      <c r="F155" s="35"/>
      <c r="G155" s="35"/>
      <c r="H155" s="35"/>
      <c r="I155" s="35"/>
    </row>
    <row r="156" spans="1:9" ht="14.5">
      <c r="A156" s="35"/>
      <c r="B156" s="35"/>
      <c r="C156" s="69"/>
      <c r="D156" s="35"/>
      <c r="E156" s="35"/>
      <c r="F156" s="35"/>
      <c r="G156" s="35"/>
      <c r="H156" s="35"/>
      <c r="I156" s="35"/>
    </row>
    <row r="157" spans="1:9" ht="14.5">
      <c r="A157" s="35"/>
      <c r="B157" s="35"/>
      <c r="C157" s="69"/>
      <c r="D157" s="35"/>
      <c r="E157" s="35"/>
      <c r="F157" s="35"/>
      <c r="G157" s="35"/>
      <c r="H157" s="35"/>
      <c r="I157" s="35"/>
    </row>
    <row r="158" spans="1:9" ht="14.5">
      <c r="A158" s="35"/>
      <c r="B158" s="35"/>
      <c r="C158" s="69"/>
      <c r="D158" s="35"/>
      <c r="E158" s="35"/>
      <c r="F158" s="35"/>
      <c r="G158" s="35"/>
      <c r="H158" s="35"/>
      <c r="I158" s="35"/>
    </row>
    <row r="159" spans="1:9" ht="14.5">
      <c r="A159" s="35"/>
      <c r="B159" s="35"/>
      <c r="C159" s="69"/>
      <c r="D159" s="35"/>
      <c r="E159" s="35"/>
      <c r="F159" s="35"/>
      <c r="G159" s="35"/>
      <c r="H159" s="35"/>
      <c r="I159" s="35"/>
    </row>
    <row r="160" spans="1:9" ht="14.5">
      <c r="A160" s="35"/>
      <c r="B160" s="35"/>
      <c r="C160" s="69"/>
      <c r="D160" s="35"/>
      <c r="E160" s="35"/>
      <c r="F160" s="35"/>
      <c r="G160" s="35"/>
      <c r="H160" s="35"/>
      <c r="I160" s="35"/>
    </row>
    <row r="161" spans="1:9" ht="14.5">
      <c r="A161" s="35"/>
      <c r="B161" s="35"/>
      <c r="C161" s="69"/>
      <c r="D161" s="35"/>
      <c r="E161" s="35"/>
      <c r="F161" s="35"/>
      <c r="G161" s="35"/>
      <c r="H161" s="35"/>
      <c r="I161" s="35"/>
    </row>
    <row r="162" spans="1:9" ht="14.5">
      <c r="A162" s="35"/>
      <c r="B162" s="35"/>
      <c r="C162" s="69"/>
      <c r="D162" s="35"/>
      <c r="E162" s="35"/>
      <c r="F162" s="35"/>
      <c r="G162" s="35"/>
      <c r="H162" s="35"/>
      <c r="I162" s="35"/>
    </row>
    <row r="163" spans="1:9" ht="14.5">
      <c r="A163" s="35"/>
      <c r="B163" s="35"/>
      <c r="C163" s="69"/>
      <c r="D163" s="35"/>
      <c r="E163" s="35"/>
      <c r="F163" s="35"/>
      <c r="G163" s="35"/>
      <c r="H163" s="35"/>
      <c r="I163" s="35"/>
    </row>
    <row r="164" spans="1:9" ht="14.5">
      <c r="A164" s="35"/>
      <c r="B164" s="35"/>
      <c r="C164" s="69"/>
      <c r="D164" s="35"/>
      <c r="E164" s="35"/>
      <c r="F164" s="35"/>
      <c r="G164" s="35"/>
      <c r="H164" s="35"/>
      <c r="I164" s="35"/>
    </row>
    <row r="165" spans="1:9" ht="14.5">
      <c r="A165" s="35"/>
      <c r="B165" s="35"/>
      <c r="C165" s="69"/>
      <c r="D165" s="35"/>
      <c r="E165" s="35"/>
      <c r="F165" s="35"/>
      <c r="G165" s="35"/>
      <c r="H165" s="35"/>
      <c r="I165" s="35"/>
    </row>
    <row r="166" spans="1:9" ht="14.5">
      <c r="A166" s="35"/>
      <c r="B166" s="35"/>
      <c r="C166" s="69"/>
      <c r="D166" s="35"/>
      <c r="E166" s="35"/>
      <c r="F166" s="35"/>
      <c r="G166" s="35"/>
      <c r="H166" s="35"/>
      <c r="I166" s="35"/>
    </row>
    <row r="167" spans="1:9" ht="14.5">
      <c r="A167" s="35"/>
      <c r="B167" s="35"/>
      <c r="C167" s="69"/>
      <c r="D167" s="35"/>
      <c r="E167" s="35"/>
      <c r="F167" s="35"/>
      <c r="G167" s="35"/>
      <c r="H167" s="35"/>
      <c r="I167" s="35"/>
    </row>
    <row r="168" spans="1:9" ht="14.5">
      <c r="A168" s="35"/>
      <c r="B168" s="35"/>
      <c r="C168" s="69"/>
      <c r="D168" s="35"/>
      <c r="E168" s="35"/>
      <c r="F168" s="35"/>
      <c r="G168" s="35"/>
      <c r="H168" s="35"/>
      <c r="I168" s="35"/>
    </row>
    <row r="169" spans="1:9" ht="14.5">
      <c r="A169" s="35"/>
      <c r="B169" s="35"/>
      <c r="C169" s="69"/>
      <c r="D169" s="35"/>
      <c r="E169" s="35"/>
      <c r="F169" s="35"/>
      <c r="G169" s="35"/>
      <c r="H169" s="35"/>
      <c r="I169" s="35"/>
    </row>
    <row r="170" spans="1:9" ht="14.5">
      <c r="A170" s="35"/>
      <c r="B170" s="35"/>
      <c r="C170" s="69"/>
      <c r="D170" s="35"/>
      <c r="E170" s="35"/>
      <c r="F170" s="35"/>
      <c r="G170" s="35"/>
      <c r="H170" s="35"/>
      <c r="I170" s="35"/>
    </row>
    <row r="171" spans="1:9" ht="14.5">
      <c r="A171" s="35"/>
      <c r="B171" s="35"/>
      <c r="C171" s="69"/>
      <c r="D171" s="35"/>
      <c r="E171" s="35"/>
      <c r="F171" s="35"/>
      <c r="G171" s="35"/>
      <c r="H171" s="35"/>
      <c r="I171" s="35"/>
    </row>
    <row r="172" spans="1:9" ht="14.5">
      <c r="A172" s="35"/>
      <c r="B172" s="35"/>
      <c r="C172" s="69"/>
      <c r="D172" s="35"/>
      <c r="E172" s="35"/>
      <c r="F172" s="35"/>
      <c r="G172" s="35"/>
      <c r="H172" s="35"/>
      <c r="I172" s="35"/>
    </row>
    <row r="173" spans="1:9" ht="14.5">
      <c r="A173" s="35"/>
      <c r="B173" s="35"/>
      <c r="C173" s="69"/>
      <c r="D173" s="35"/>
      <c r="E173" s="35"/>
      <c r="F173" s="35"/>
      <c r="G173" s="35"/>
      <c r="H173" s="35"/>
      <c r="I173" s="35"/>
    </row>
    <row r="174" spans="1:9" ht="14.5">
      <c r="A174" s="35"/>
      <c r="B174" s="35"/>
      <c r="C174" s="69"/>
      <c r="D174" s="35"/>
      <c r="E174" s="35"/>
      <c r="F174" s="35"/>
      <c r="G174" s="35"/>
      <c r="H174" s="35"/>
      <c r="I174" s="35"/>
    </row>
    <row r="175" spans="1:9" ht="14.5">
      <c r="A175" s="35"/>
      <c r="B175" s="35"/>
      <c r="C175" s="69"/>
      <c r="D175" s="35"/>
      <c r="E175" s="35"/>
      <c r="F175" s="35"/>
      <c r="G175" s="35"/>
      <c r="H175" s="35"/>
      <c r="I175" s="35"/>
    </row>
    <row r="176" spans="1:9" ht="14.5">
      <c r="A176" s="35"/>
      <c r="B176" s="35"/>
      <c r="C176" s="69"/>
      <c r="D176" s="35"/>
      <c r="E176" s="35"/>
      <c r="F176" s="35"/>
      <c r="G176" s="35"/>
      <c r="H176" s="35"/>
      <c r="I176" s="35"/>
    </row>
    <row r="177" spans="1:9" ht="14.5">
      <c r="A177" s="35"/>
      <c r="B177" s="35"/>
      <c r="C177" s="69"/>
      <c r="D177" s="35"/>
      <c r="E177" s="35"/>
      <c r="F177" s="35"/>
      <c r="G177" s="35"/>
      <c r="H177" s="35"/>
      <c r="I177" s="35"/>
    </row>
    <row r="178" spans="1:9" ht="14.5">
      <c r="A178" s="35"/>
      <c r="B178" s="35"/>
      <c r="C178" s="69"/>
      <c r="D178" s="35"/>
      <c r="E178" s="35"/>
      <c r="F178" s="35"/>
      <c r="G178" s="35"/>
      <c r="H178" s="35"/>
      <c r="I178" s="35"/>
    </row>
    <row r="179" spans="1:9" ht="14.5">
      <c r="A179" s="35"/>
      <c r="B179" s="35"/>
      <c r="C179" s="69"/>
      <c r="D179" s="35"/>
      <c r="E179" s="35"/>
      <c r="F179" s="35"/>
      <c r="G179" s="35"/>
      <c r="H179" s="35"/>
      <c r="I179" s="35"/>
    </row>
    <row r="180" spans="1:9" ht="14.5">
      <c r="A180" s="35"/>
      <c r="B180" s="35"/>
      <c r="C180" s="69"/>
      <c r="D180" s="35"/>
      <c r="E180" s="35"/>
      <c r="F180" s="35"/>
      <c r="G180" s="35"/>
      <c r="H180" s="35"/>
      <c r="I180" s="35"/>
    </row>
    <row r="181" spans="1:9" ht="14.5">
      <c r="A181" s="35"/>
      <c r="B181" s="35"/>
      <c r="C181" s="69"/>
      <c r="D181" s="35"/>
      <c r="E181" s="35"/>
      <c r="F181" s="35"/>
      <c r="G181" s="35"/>
      <c r="H181" s="35"/>
      <c r="I181" s="35"/>
    </row>
    <row r="182" spans="1:9" ht="14.5">
      <c r="A182" s="35"/>
      <c r="B182" s="35"/>
      <c r="C182" s="69"/>
      <c r="D182" s="35"/>
      <c r="E182" s="35"/>
      <c r="F182" s="35"/>
      <c r="G182" s="35"/>
      <c r="H182" s="35"/>
      <c r="I182" s="35"/>
    </row>
    <row r="183" spans="1:9" ht="14.5">
      <c r="A183" s="35"/>
      <c r="B183" s="35"/>
      <c r="C183" s="69"/>
      <c r="D183" s="35"/>
      <c r="E183" s="35"/>
      <c r="F183" s="35"/>
      <c r="G183" s="35"/>
      <c r="H183" s="35"/>
      <c r="I183" s="35"/>
    </row>
    <row r="184" spans="1:9" ht="14.5">
      <c r="A184" s="35"/>
      <c r="B184" s="35"/>
      <c r="C184" s="69"/>
      <c r="D184" s="35"/>
      <c r="E184" s="35"/>
      <c r="F184" s="35"/>
      <c r="G184" s="35"/>
      <c r="H184" s="35"/>
      <c r="I184" s="35"/>
    </row>
    <row r="185" spans="1:9" ht="14.5">
      <c r="A185" s="35"/>
      <c r="B185" s="35"/>
      <c r="C185" s="69"/>
      <c r="D185" s="35"/>
      <c r="E185" s="35"/>
      <c r="F185" s="35"/>
      <c r="G185" s="35"/>
      <c r="H185" s="35"/>
      <c r="I185" s="35"/>
    </row>
    <row r="186" spans="1:9" ht="14.5">
      <c r="A186" s="35"/>
      <c r="B186" s="35"/>
      <c r="C186" s="69"/>
      <c r="D186" s="35"/>
      <c r="E186" s="35"/>
      <c r="F186" s="35"/>
      <c r="G186" s="35"/>
      <c r="H186" s="35"/>
      <c r="I186" s="35"/>
    </row>
    <row r="187" spans="1:9" ht="14.5">
      <c r="A187" s="35"/>
      <c r="B187" s="35"/>
      <c r="C187" s="69"/>
      <c r="D187" s="35"/>
      <c r="E187" s="35"/>
      <c r="F187" s="35"/>
      <c r="G187" s="35"/>
      <c r="H187" s="35"/>
      <c r="I187" s="35"/>
    </row>
    <row r="188" spans="1:9" ht="14.5">
      <c r="A188" s="35"/>
      <c r="B188" s="35"/>
      <c r="C188" s="69"/>
      <c r="D188" s="35"/>
      <c r="E188" s="35"/>
      <c r="F188" s="35"/>
      <c r="G188" s="35"/>
      <c r="H188" s="35"/>
      <c r="I188" s="35"/>
    </row>
    <row r="189" spans="1:9" ht="14.5">
      <c r="A189" s="35"/>
      <c r="B189" s="35"/>
      <c r="C189" s="69"/>
      <c r="D189" s="35"/>
      <c r="E189" s="35"/>
      <c r="F189" s="35"/>
      <c r="G189" s="35"/>
      <c r="H189" s="35"/>
      <c r="I189" s="35"/>
    </row>
    <row r="190" spans="1:9" ht="14.5">
      <c r="A190" s="35"/>
      <c r="B190" s="35"/>
      <c r="C190" s="69"/>
      <c r="D190" s="35"/>
      <c r="E190" s="35"/>
      <c r="F190" s="35"/>
      <c r="G190" s="35"/>
      <c r="H190" s="35"/>
      <c r="I190" s="35"/>
    </row>
    <row r="191" spans="1:9" ht="14.5">
      <c r="A191" s="35"/>
      <c r="B191" s="35"/>
      <c r="C191" s="69"/>
      <c r="D191" s="35"/>
      <c r="E191" s="35"/>
      <c r="F191" s="35"/>
      <c r="G191" s="35"/>
      <c r="H191" s="35"/>
      <c r="I191" s="35"/>
    </row>
    <row r="192" spans="1:9" ht="14.5">
      <c r="A192" s="35"/>
      <c r="B192" s="35"/>
      <c r="C192" s="69"/>
      <c r="D192" s="35"/>
      <c r="E192" s="35"/>
      <c r="F192" s="35"/>
      <c r="G192" s="35"/>
      <c r="H192" s="35"/>
      <c r="I192" s="35"/>
    </row>
    <row r="193" spans="1:9" ht="14.5">
      <c r="A193" s="35"/>
      <c r="B193" s="35"/>
      <c r="C193" s="69"/>
      <c r="D193" s="35"/>
      <c r="E193" s="35"/>
      <c r="F193" s="35"/>
      <c r="G193" s="35"/>
      <c r="H193" s="35"/>
      <c r="I193" s="35"/>
    </row>
    <row r="194" spans="1:9" ht="14.5">
      <c r="A194" s="35"/>
      <c r="B194" s="35"/>
      <c r="C194" s="69"/>
      <c r="D194" s="35"/>
      <c r="E194" s="35"/>
      <c r="F194" s="35"/>
      <c r="G194" s="35"/>
      <c r="H194" s="35"/>
      <c r="I194" s="35"/>
    </row>
    <row r="195" spans="1:9" ht="14.5">
      <c r="A195" s="35"/>
      <c r="B195" s="35"/>
      <c r="C195" s="69"/>
      <c r="D195" s="35"/>
      <c r="E195" s="35"/>
      <c r="F195" s="35"/>
      <c r="G195" s="35"/>
      <c r="H195" s="35"/>
      <c r="I195" s="35"/>
    </row>
    <row r="196" spans="1:9" ht="14.5">
      <c r="A196" s="35"/>
      <c r="B196" s="35"/>
      <c r="C196" s="69"/>
      <c r="D196" s="35"/>
      <c r="E196" s="35"/>
      <c r="F196" s="35"/>
      <c r="G196" s="35"/>
      <c r="H196" s="35"/>
      <c r="I196" s="35"/>
    </row>
    <row r="197" spans="1:9" ht="14.5">
      <c r="A197" s="35"/>
      <c r="B197" s="35"/>
      <c r="C197" s="69"/>
      <c r="D197" s="35"/>
      <c r="E197" s="35"/>
      <c r="F197" s="35"/>
      <c r="G197" s="35"/>
      <c r="H197" s="35"/>
      <c r="I197" s="35"/>
    </row>
    <row r="198" spans="1:9" ht="14.5">
      <c r="A198" s="35"/>
      <c r="B198" s="35"/>
      <c r="C198" s="69"/>
      <c r="D198" s="35"/>
      <c r="E198" s="35"/>
      <c r="F198" s="35"/>
      <c r="G198" s="35"/>
      <c r="H198" s="35"/>
      <c r="I198" s="35"/>
    </row>
    <row r="199" spans="1:9" ht="14.5">
      <c r="A199" s="35"/>
      <c r="B199" s="35"/>
      <c r="C199" s="69"/>
      <c r="D199" s="35"/>
      <c r="E199" s="35"/>
      <c r="F199" s="35"/>
      <c r="G199" s="35"/>
      <c r="H199" s="35"/>
      <c r="I199" s="35"/>
    </row>
    <row r="200" spans="1:9" ht="14.5">
      <c r="A200" s="35"/>
      <c r="B200" s="35"/>
      <c r="C200" s="69"/>
      <c r="D200" s="35"/>
      <c r="E200" s="35"/>
      <c r="F200" s="35"/>
      <c r="G200" s="35"/>
      <c r="H200" s="35"/>
      <c r="I200" s="35"/>
    </row>
    <row r="201" spans="1:9" ht="14.5">
      <c r="A201" s="35"/>
      <c r="B201" s="35"/>
      <c r="C201" s="69"/>
      <c r="D201" s="35"/>
      <c r="E201" s="35"/>
      <c r="F201" s="35"/>
      <c r="G201" s="35"/>
      <c r="H201" s="35"/>
      <c r="I201" s="35"/>
    </row>
    <row r="202" spans="1:9" ht="14.5">
      <c r="A202" s="35"/>
      <c r="B202" s="35"/>
      <c r="C202" s="69"/>
      <c r="D202" s="35"/>
      <c r="E202" s="35"/>
      <c r="F202" s="35"/>
      <c r="G202" s="35"/>
      <c r="H202" s="35"/>
      <c r="I202" s="35"/>
    </row>
    <row r="203" spans="1:9" ht="14.5">
      <c r="A203" s="35"/>
      <c r="B203" s="35"/>
      <c r="C203" s="69"/>
      <c r="D203" s="35"/>
      <c r="E203" s="35"/>
      <c r="F203" s="35"/>
      <c r="G203" s="35"/>
      <c r="H203" s="35"/>
      <c r="I203" s="35"/>
    </row>
    <row r="204" spans="1:9" ht="14.5">
      <c r="A204" s="35"/>
      <c r="B204" s="35"/>
      <c r="C204" s="69"/>
      <c r="D204" s="35"/>
      <c r="E204" s="35"/>
      <c r="F204" s="35"/>
      <c r="G204" s="35"/>
      <c r="H204" s="35"/>
      <c r="I204" s="35"/>
    </row>
    <row r="205" spans="1:9" ht="14.5">
      <c r="A205" s="35"/>
      <c r="B205" s="35"/>
      <c r="C205" s="69"/>
      <c r="D205" s="35"/>
      <c r="E205" s="35"/>
      <c r="F205" s="35"/>
      <c r="G205" s="35"/>
      <c r="H205" s="35"/>
      <c r="I205" s="35"/>
    </row>
    <row r="206" spans="1:9" ht="14.5">
      <c r="A206" s="35"/>
      <c r="B206" s="35"/>
      <c r="C206" s="69"/>
      <c r="D206" s="35"/>
      <c r="E206" s="35"/>
      <c r="F206" s="35"/>
      <c r="G206" s="35"/>
      <c r="H206" s="35"/>
      <c r="I206" s="35"/>
    </row>
    <row r="207" spans="1:9" ht="14.5">
      <c r="A207" s="35"/>
      <c r="B207" s="35"/>
      <c r="C207" s="69"/>
      <c r="D207" s="35"/>
      <c r="E207" s="35"/>
      <c r="F207" s="35"/>
      <c r="G207" s="35"/>
      <c r="H207" s="35"/>
      <c r="I207" s="35"/>
    </row>
    <row r="208" spans="1:9" ht="14.5">
      <c r="A208" s="35"/>
      <c r="B208" s="35"/>
      <c r="C208" s="69"/>
      <c r="D208" s="35"/>
      <c r="E208" s="35"/>
      <c r="F208" s="35"/>
      <c r="G208" s="35"/>
      <c r="H208" s="35"/>
      <c r="I208" s="35"/>
    </row>
    <row r="209" spans="1:9" ht="14.5">
      <c r="A209" s="35"/>
      <c r="B209" s="35"/>
      <c r="C209" s="69"/>
      <c r="D209" s="35"/>
      <c r="E209" s="35"/>
      <c r="F209" s="35"/>
      <c r="G209" s="35"/>
      <c r="H209" s="35"/>
      <c r="I209" s="35"/>
    </row>
    <row r="210" spans="1:9" ht="14.5">
      <c r="A210" s="35"/>
      <c r="B210" s="35"/>
      <c r="C210" s="69"/>
      <c r="D210" s="35"/>
      <c r="E210" s="35"/>
      <c r="F210" s="35"/>
      <c r="G210" s="35"/>
      <c r="H210" s="35"/>
      <c r="I210" s="35"/>
    </row>
    <row r="211" spans="1:9" ht="14.5">
      <c r="A211" s="35"/>
      <c r="B211" s="35"/>
      <c r="C211" s="69"/>
      <c r="D211" s="35"/>
      <c r="E211" s="35"/>
      <c r="F211" s="35"/>
      <c r="G211" s="35"/>
      <c r="H211" s="35"/>
      <c r="I211" s="35"/>
    </row>
    <row r="212" spans="1:9" ht="14.5">
      <c r="A212" s="35"/>
      <c r="B212" s="35"/>
      <c r="C212" s="69"/>
      <c r="D212" s="35"/>
      <c r="E212" s="35"/>
      <c r="F212" s="35"/>
      <c r="G212" s="35"/>
      <c r="H212" s="35"/>
      <c r="I212" s="35"/>
    </row>
    <row r="213" spans="1:9" ht="14.5">
      <c r="A213" s="35"/>
      <c r="B213" s="35"/>
      <c r="C213" s="69"/>
      <c r="D213" s="35"/>
      <c r="E213" s="35"/>
      <c r="F213" s="35"/>
      <c r="G213" s="35"/>
      <c r="H213" s="35"/>
      <c r="I213" s="35"/>
    </row>
    <row r="214" spans="1:9" ht="14.5">
      <c r="A214" s="35"/>
      <c r="B214" s="35"/>
      <c r="C214" s="69"/>
      <c r="D214" s="35"/>
      <c r="E214" s="35"/>
      <c r="F214" s="35"/>
      <c r="G214" s="35"/>
      <c r="H214" s="35"/>
      <c r="I214" s="35"/>
    </row>
    <row r="215" spans="1:9" ht="14.5">
      <c r="A215" s="35"/>
      <c r="B215" s="35"/>
      <c r="C215" s="69"/>
      <c r="D215" s="35"/>
      <c r="E215" s="35"/>
      <c r="F215" s="35"/>
      <c r="G215" s="35"/>
      <c r="H215" s="35"/>
      <c r="I215" s="35"/>
    </row>
    <row r="216" spans="1:9" ht="14.5">
      <c r="A216" s="35"/>
      <c r="B216" s="35"/>
      <c r="C216" s="69"/>
      <c r="D216" s="35"/>
      <c r="E216" s="35"/>
      <c r="F216" s="35"/>
      <c r="G216" s="35"/>
      <c r="H216" s="35"/>
      <c r="I216" s="35"/>
    </row>
    <row r="217" spans="1:9" ht="14.5">
      <c r="A217" s="35"/>
      <c r="B217" s="35"/>
      <c r="C217" s="69"/>
      <c r="D217" s="35"/>
      <c r="E217" s="35"/>
      <c r="F217" s="35"/>
      <c r="G217" s="35"/>
      <c r="H217" s="35"/>
      <c r="I217" s="35"/>
    </row>
    <row r="218" spans="1:9" ht="14.5">
      <c r="A218" s="35"/>
      <c r="B218" s="35"/>
      <c r="C218" s="69"/>
      <c r="D218" s="35"/>
      <c r="E218" s="35"/>
      <c r="F218" s="35"/>
      <c r="G218" s="35"/>
      <c r="H218" s="35"/>
      <c r="I218" s="35"/>
    </row>
    <row r="219" spans="1:9" ht="14.5">
      <c r="A219" s="35"/>
      <c r="B219" s="35"/>
      <c r="C219" s="69"/>
      <c r="D219" s="35"/>
      <c r="E219" s="35"/>
      <c r="F219" s="35"/>
      <c r="G219" s="35"/>
      <c r="H219" s="35"/>
      <c r="I219" s="35"/>
    </row>
    <row r="220" spans="1:9" ht="14.5">
      <c r="A220" s="35"/>
      <c r="B220" s="35"/>
      <c r="C220" s="69"/>
      <c r="D220" s="35"/>
      <c r="E220" s="35"/>
      <c r="F220" s="35"/>
      <c r="G220" s="35"/>
      <c r="H220" s="35"/>
      <c r="I220" s="35"/>
    </row>
    <row r="221" spans="1:9" ht="14.5">
      <c r="A221" s="35"/>
      <c r="B221" s="35"/>
      <c r="C221" s="69"/>
      <c r="D221" s="35"/>
      <c r="E221" s="35"/>
      <c r="F221" s="35"/>
      <c r="G221" s="35"/>
      <c r="H221" s="35"/>
      <c r="I221" s="35"/>
    </row>
    <row r="222" spans="1:9" ht="14.5">
      <c r="A222" s="35"/>
      <c r="B222" s="35"/>
      <c r="C222" s="69"/>
      <c r="D222" s="35"/>
      <c r="E222" s="35"/>
      <c r="F222" s="35"/>
      <c r="G222" s="35"/>
      <c r="H222" s="35"/>
      <c r="I222" s="35"/>
    </row>
    <row r="223" spans="1:9" ht="14.5">
      <c r="A223" s="35"/>
      <c r="B223" s="35"/>
      <c r="C223" s="69"/>
      <c r="D223" s="35"/>
      <c r="E223" s="35"/>
      <c r="F223" s="35"/>
      <c r="G223" s="35"/>
      <c r="H223" s="35"/>
      <c r="I223" s="35"/>
    </row>
    <row r="224" spans="1:9" ht="14.5">
      <c r="A224" s="35"/>
      <c r="B224" s="35"/>
      <c r="C224" s="69"/>
      <c r="D224" s="35"/>
      <c r="E224" s="35"/>
      <c r="F224" s="35"/>
      <c r="G224" s="35"/>
      <c r="H224" s="35"/>
      <c r="I224" s="35"/>
    </row>
    <row r="225" spans="1:9" ht="14.5">
      <c r="A225" s="35"/>
      <c r="B225" s="35"/>
      <c r="C225" s="69"/>
      <c r="D225" s="35"/>
      <c r="E225" s="35"/>
      <c r="F225" s="35"/>
      <c r="G225" s="35"/>
      <c r="H225" s="35"/>
      <c r="I225" s="35"/>
    </row>
    <row r="226" spans="1:9" ht="14.5">
      <c r="A226" s="35"/>
      <c r="B226" s="35"/>
      <c r="C226" s="69"/>
      <c r="D226" s="35"/>
      <c r="E226" s="35"/>
      <c r="F226" s="35"/>
      <c r="G226" s="35"/>
      <c r="H226" s="35"/>
      <c r="I226" s="35"/>
    </row>
    <row r="227" spans="1:9" ht="14.5">
      <c r="A227" s="35"/>
      <c r="B227" s="35"/>
      <c r="C227" s="69"/>
      <c r="D227" s="35"/>
      <c r="E227" s="35"/>
      <c r="F227" s="35"/>
      <c r="G227" s="35"/>
      <c r="H227" s="35"/>
      <c r="I227" s="35"/>
    </row>
    <row r="228" spans="1:9" ht="14.5">
      <c r="A228" s="35"/>
      <c r="B228" s="35"/>
      <c r="C228" s="69"/>
      <c r="D228" s="35"/>
      <c r="E228" s="35"/>
      <c r="F228" s="35"/>
      <c r="G228" s="35"/>
      <c r="H228" s="35"/>
      <c r="I228" s="35"/>
    </row>
    <row r="229" spans="1:9" ht="14.5">
      <c r="A229" s="35"/>
      <c r="B229" s="35"/>
      <c r="C229" s="69"/>
      <c r="D229" s="35"/>
      <c r="E229" s="35"/>
      <c r="F229" s="35"/>
      <c r="G229" s="35"/>
      <c r="H229" s="35"/>
      <c r="I229" s="35"/>
    </row>
    <row r="230" spans="1:9" ht="14.5">
      <c r="A230" s="35"/>
      <c r="B230" s="35"/>
      <c r="C230" s="69"/>
      <c r="D230" s="35"/>
      <c r="E230" s="35"/>
      <c r="F230" s="35"/>
      <c r="G230" s="35"/>
      <c r="H230" s="35"/>
      <c r="I230" s="35"/>
    </row>
    <row r="231" spans="1:9" ht="14.5">
      <c r="A231" s="35"/>
      <c r="B231" s="35"/>
      <c r="C231" s="69"/>
      <c r="D231" s="35"/>
      <c r="E231" s="35"/>
      <c r="F231" s="35"/>
      <c r="G231" s="35"/>
      <c r="H231" s="35"/>
      <c r="I231" s="35"/>
    </row>
    <row r="232" spans="1:9" ht="14.5">
      <c r="A232" s="35"/>
      <c r="B232" s="35"/>
      <c r="C232" s="69"/>
      <c r="D232" s="35"/>
      <c r="E232" s="35"/>
      <c r="F232" s="35"/>
      <c r="G232" s="35"/>
      <c r="H232" s="35"/>
      <c r="I232" s="35"/>
    </row>
    <row r="233" spans="1:9" ht="14.5">
      <c r="A233" s="35"/>
      <c r="B233" s="35"/>
      <c r="C233" s="69"/>
      <c r="D233" s="35"/>
      <c r="E233" s="35"/>
      <c r="F233" s="35"/>
      <c r="G233" s="35"/>
      <c r="H233" s="35"/>
      <c r="I233" s="35"/>
    </row>
    <row r="234" spans="1:9" ht="14.5">
      <c r="A234" s="35"/>
      <c r="B234" s="35"/>
      <c r="C234" s="69"/>
      <c r="D234" s="35"/>
      <c r="E234" s="35"/>
      <c r="F234" s="35"/>
      <c r="G234" s="35"/>
      <c r="H234" s="35"/>
      <c r="I234" s="35"/>
    </row>
    <row r="235" spans="1:9" ht="14.5">
      <c r="A235" s="35"/>
      <c r="B235" s="35"/>
      <c r="C235" s="69"/>
      <c r="D235" s="35"/>
      <c r="E235" s="35"/>
      <c r="F235" s="35"/>
      <c r="G235" s="35"/>
      <c r="H235" s="35"/>
      <c r="I235" s="35"/>
    </row>
    <row r="236" spans="1:9" ht="14.5">
      <c r="A236" s="35"/>
      <c r="B236" s="35"/>
      <c r="C236" s="69"/>
      <c r="D236" s="35"/>
      <c r="E236" s="35"/>
      <c r="F236" s="35"/>
      <c r="G236" s="35"/>
      <c r="H236" s="35"/>
      <c r="I236" s="35"/>
    </row>
    <row r="237" spans="1:9" ht="14.5">
      <c r="A237" s="35"/>
      <c r="B237" s="35"/>
      <c r="C237" s="69"/>
      <c r="D237" s="35"/>
      <c r="E237" s="35"/>
      <c r="F237" s="35"/>
      <c r="G237" s="35"/>
      <c r="H237" s="35"/>
      <c r="I237" s="35"/>
    </row>
    <row r="238" spans="1:9" ht="14.5">
      <c r="A238" s="35"/>
      <c r="B238" s="35"/>
      <c r="C238" s="69"/>
      <c r="D238" s="35"/>
      <c r="E238" s="35"/>
      <c r="F238" s="35"/>
      <c r="G238" s="35"/>
      <c r="H238" s="35"/>
      <c r="I238" s="35"/>
    </row>
    <row r="239" spans="1:9" ht="14.5">
      <c r="A239" s="35"/>
      <c r="B239" s="35"/>
      <c r="C239" s="69"/>
      <c r="D239" s="35"/>
      <c r="E239" s="35"/>
      <c r="F239" s="35"/>
      <c r="G239" s="35"/>
      <c r="H239" s="35"/>
      <c r="I239" s="35"/>
    </row>
    <row r="240" spans="1:9" ht="14.5">
      <c r="A240" s="35"/>
      <c r="B240" s="35"/>
      <c r="C240" s="69"/>
      <c r="D240" s="35"/>
      <c r="E240" s="35"/>
      <c r="F240" s="35"/>
      <c r="G240" s="35"/>
      <c r="H240" s="35"/>
      <c r="I240" s="35"/>
    </row>
    <row r="241" spans="1:9" ht="14.5">
      <c r="A241" s="35"/>
      <c r="B241" s="35"/>
      <c r="C241" s="69"/>
      <c r="D241" s="35"/>
      <c r="E241" s="35"/>
      <c r="F241" s="35"/>
      <c r="G241" s="35"/>
      <c r="H241" s="35"/>
      <c r="I241" s="35"/>
    </row>
    <row r="242" spans="1:9" ht="14.5">
      <c r="A242" s="35"/>
      <c r="B242" s="35"/>
      <c r="C242" s="69"/>
      <c r="D242" s="35"/>
      <c r="E242" s="35"/>
      <c r="F242" s="35"/>
      <c r="G242" s="35"/>
      <c r="H242" s="35"/>
      <c r="I242" s="35"/>
    </row>
    <row r="243" spans="1:9" ht="14.5">
      <c r="A243" s="35"/>
      <c r="B243" s="35"/>
      <c r="C243" s="69"/>
      <c r="D243" s="35"/>
      <c r="E243" s="35"/>
      <c r="F243" s="35"/>
      <c r="G243" s="35"/>
      <c r="H243" s="35"/>
      <c r="I243" s="35"/>
    </row>
    <row r="244" spans="1:9" ht="14.5">
      <c r="A244" s="35"/>
      <c r="B244" s="35"/>
      <c r="C244" s="69"/>
      <c r="D244" s="35"/>
      <c r="E244" s="35"/>
      <c r="F244" s="35"/>
      <c r="G244" s="35"/>
      <c r="H244" s="35"/>
      <c r="I244" s="35"/>
    </row>
    <row r="245" spans="1:9" ht="14.5">
      <c r="A245" s="35"/>
      <c r="B245" s="35"/>
      <c r="C245" s="69"/>
      <c r="D245" s="35"/>
      <c r="E245" s="35"/>
      <c r="F245" s="35"/>
      <c r="G245" s="35"/>
      <c r="H245" s="35"/>
      <c r="I245" s="35"/>
    </row>
    <row r="246" spans="1:9" ht="14.5">
      <c r="A246" s="35"/>
      <c r="B246" s="35"/>
      <c r="C246" s="69"/>
      <c r="D246" s="35"/>
      <c r="E246" s="35"/>
      <c r="F246" s="35"/>
      <c r="G246" s="35"/>
      <c r="H246" s="35"/>
      <c r="I246" s="35"/>
    </row>
    <row r="247" spans="1:9" ht="14.5">
      <c r="A247" s="35"/>
      <c r="B247" s="35"/>
      <c r="C247" s="69"/>
      <c r="D247" s="35"/>
      <c r="E247" s="35"/>
      <c r="F247" s="35"/>
      <c r="G247" s="35"/>
      <c r="H247" s="35"/>
      <c r="I247" s="35"/>
    </row>
    <row r="248" spans="1:9" ht="14.5">
      <c r="A248" s="35"/>
      <c r="B248" s="35"/>
      <c r="C248" s="69"/>
      <c r="D248" s="35"/>
      <c r="E248" s="35"/>
      <c r="F248" s="35"/>
      <c r="G248" s="35"/>
      <c r="H248" s="35"/>
      <c r="I248" s="35"/>
    </row>
    <row r="249" spans="1:9" ht="14.5">
      <c r="A249" s="35"/>
      <c r="B249" s="35"/>
      <c r="C249" s="69"/>
      <c r="D249" s="35"/>
      <c r="E249" s="35"/>
      <c r="F249" s="35"/>
      <c r="G249" s="35"/>
      <c r="H249" s="35"/>
      <c r="I249" s="35"/>
    </row>
    <row r="250" spans="1:9" ht="14.5">
      <c r="A250" s="35"/>
      <c r="B250" s="35"/>
      <c r="C250" s="69"/>
      <c r="D250" s="35"/>
      <c r="E250" s="35"/>
      <c r="F250" s="35"/>
      <c r="G250" s="35"/>
      <c r="H250" s="35"/>
      <c r="I250" s="35"/>
    </row>
    <row r="251" spans="1:9" ht="14.5">
      <c r="A251" s="35"/>
      <c r="B251" s="35"/>
      <c r="C251" s="69"/>
      <c r="D251" s="35"/>
      <c r="E251" s="35"/>
      <c r="F251" s="35"/>
      <c r="G251" s="35"/>
      <c r="H251" s="35"/>
      <c r="I251" s="35"/>
    </row>
    <row r="252" spans="1:9" ht="14.5">
      <c r="A252" s="35"/>
      <c r="B252" s="35"/>
      <c r="C252" s="69"/>
      <c r="D252" s="35"/>
      <c r="E252" s="35"/>
      <c r="F252" s="35"/>
      <c r="G252" s="35"/>
      <c r="H252" s="35"/>
      <c r="I252" s="35"/>
    </row>
    <row r="253" spans="1:9" ht="14.5">
      <c r="A253" s="35"/>
      <c r="B253" s="35"/>
      <c r="C253" s="69"/>
      <c r="D253" s="35"/>
      <c r="E253" s="35"/>
      <c r="F253" s="35"/>
      <c r="G253" s="35"/>
      <c r="H253" s="35"/>
      <c r="I253" s="35"/>
    </row>
    <row r="254" spans="1:9" ht="14.5">
      <c r="A254" s="35"/>
      <c r="B254" s="35"/>
      <c r="C254" s="69"/>
      <c r="D254" s="35"/>
      <c r="E254" s="35"/>
      <c r="F254" s="35"/>
      <c r="G254" s="35"/>
      <c r="H254" s="35"/>
      <c r="I254" s="35"/>
    </row>
    <row r="255" spans="1:9" ht="14.5">
      <c r="A255" s="35"/>
      <c r="B255" s="35"/>
      <c r="C255" s="69"/>
      <c r="D255" s="35"/>
      <c r="E255" s="35"/>
      <c r="F255" s="35"/>
      <c r="G255" s="35"/>
      <c r="H255" s="35"/>
      <c r="I255" s="35"/>
    </row>
    <row r="256" spans="1:9" ht="14.5">
      <c r="A256" s="35"/>
      <c r="B256" s="35"/>
      <c r="C256" s="69"/>
      <c r="D256" s="35"/>
      <c r="E256" s="35"/>
      <c r="F256" s="35"/>
      <c r="G256" s="35"/>
      <c r="H256" s="35"/>
      <c r="I256" s="35"/>
    </row>
    <row r="257" spans="1:9" ht="14.5">
      <c r="A257" s="35"/>
      <c r="B257" s="35"/>
      <c r="C257" s="69"/>
      <c r="D257" s="35"/>
      <c r="E257" s="35"/>
      <c r="F257" s="35"/>
      <c r="G257" s="35"/>
      <c r="H257" s="35"/>
      <c r="I257" s="35"/>
    </row>
    <row r="258" spans="1:9" ht="14.5">
      <c r="A258" s="35"/>
      <c r="B258" s="35"/>
      <c r="C258" s="69"/>
      <c r="D258" s="35"/>
      <c r="E258" s="35"/>
      <c r="F258" s="35"/>
      <c r="G258" s="35"/>
      <c r="H258" s="35"/>
      <c r="I258" s="35"/>
    </row>
    <row r="259" spans="1:9" ht="14.5">
      <c r="A259" s="35"/>
      <c r="B259" s="35"/>
      <c r="C259" s="69"/>
      <c r="D259" s="35"/>
      <c r="E259" s="35"/>
      <c r="F259" s="35"/>
      <c r="G259" s="35"/>
      <c r="H259" s="35"/>
      <c r="I259" s="35"/>
    </row>
    <row r="260" spans="1:9" ht="14.5">
      <c r="A260" s="35"/>
      <c r="B260" s="35"/>
      <c r="C260" s="69"/>
      <c r="D260" s="35"/>
      <c r="E260" s="35"/>
      <c r="F260" s="35"/>
      <c r="G260" s="35"/>
      <c r="H260" s="35"/>
      <c r="I260" s="35"/>
    </row>
    <row r="261" spans="1:9" ht="14.5">
      <c r="A261" s="35"/>
      <c r="B261" s="35"/>
      <c r="C261" s="69"/>
      <c r="D261" s="35"/>
      <c r="E261" s="35"/>
      <c r="F261" s="35"/>
      <c r="G261" s="35"/>
      <c r="H261" s="35"/>
      <c r="I261" s="35"/>
    </row>
    <row r="262" spans="1:9" ht="14.5">
      <c r="A262" s="35"/>
      <c r="B262" s="35"/>
      <c r="C262" s="69"/>
      <c r="D262" s="35"/>
      <c r="E262" s="35"/>
      <c r="F262" s="35"/>
      <c r="G262" s="35"/>
      <c r="H262" s="35"/>
      <c r="I262" s="35"/>
    </row>
    <row r="263" spans="1:9" ht="14.5">
      <c r="A263" s="35"/>
      <c r="B263" s="35"/>
      <c r="C263" s="69"/>
      <c r="D263" s="35"/>
      <c r="E263" s="35"/>
      <c r="F263" s="35"/>
      <c r="G263" s="35"/>
      <c r="H263" s="35"/>
      <c r="I263" s="35"/>
    </row>
    <row r="264" spans="1:9" ht="14.5">
      <c r="A264" s="35"/>
      <c r="B264" s="35"/>
      <c r="C264" s="69"/>
      <c r="D264" s="35"/>
      <c r="E264" s="35"/>
      <c r="F264" s="35"/>
      <c r="G264" s="35"/>
      <c r="H264" s="35"/>
      <c r="I264" s="35"/>
    </row>
    <row r="265" spans="1:9" ht="14.5">
      <c r="A265" s="35"/>
      <c r="B265" s="35"/>
      <c r="C265" s="69"/>
      <c r="D265" s="35"/>
      <c r="E265" s="35"/>
      <c r="F265" s="35"/>
      <c r="G265" s="35"/>
      <c r="H265" s="35"/>
      <c r="I265" s="35"/>
    </row>
    <row r="266" spans="1:9" ht="14.5">
      <c r="A266" s="35"/>
      <c r="B266" s="35"/>
      <c r="C266" s="69"/>
      <c r="D266" s="35"/>
      <c r="E266" s="35"/>
      <c r="F266" s="35"/>
      <c r="G266" s="35"/>
      <c r="H266" s="35"/>
      <c r="I266" s="35"/>
    </row>
    <row r="267" spans="1:9" ht="14.5">
      <c r="A267" s="35"/>
      <c r="B267" s="35"/>
      <c r="C267" s="69"/>
      <c r="D267" s="35"/>
      <c r="E267" s="35"/>
      <c r="F267" s="35"/>
      <c r="G267" s="35"/>
      <c r="H267" s="35"/>
      <c r="I267" s="35"/>
    </row>
    <row r="268" spans="1:9" ht="14.5">
      <c r="A268" s="35"/>
      <c r="B268" s="35"/>
      <c r="C268" s="69"/>
      <c r="D268" s="35"/>
      <c r="E268" s="35"/>
      <c r="F268" s="35"/>
      <c r="G268" s="35"/>
      <c r="H268" s="35"/>
      <c r="I268" s="35"/>
    </row>
    <row r="269" spans="1:9" ht="14.5">
      <c r="A269" s="35"/>
      <c r="B269" s="35"/>
      <c r="C269" s="69"/>
      <c r="D269" s="35"/>
      <c r="E269" s="35"/>
      <c r="F269" s="35"/>
      <c r="G269" s="35"/>
      <c r="H269" s="35"/>
      <c r="I269" s="35"/>
    </row>
    <row r="270" spans="1:9" ht="14.5">
      <c r="A270" s="35"/>
      <c r="B270" s="35"/>
      <c r="C270" s="69"/>
      <c r="D270" s="35"/>
      <c r="E270" s="35"/>
      <c r="F270" s="35"/>
      <c r="G270" s="35"/>
      <c r="H270" s="35"/>
      <c r="I270" s="35"/>
    </row>
    <row r="271" spans="1:9" ht="14.5">
      <c r="A271" s="35"/>
      <c r="B271" s="35"/>
      <c r="C271" s="69"/>
      <c r="D271" s="35"/>
      <c r="E271" s="35"/>
      <c r="F271" s="35"/>
      <c r="G271" s="35"/>
      <c r="H271" s="35"/>
      <c r="I271" s="35"/>
    </row>
    <row r="272" spans="1:9" ht="14.5">
      <c r="A272" s="35"/>
      <c r="B272" s="35"/>
      <c r="C272" s="69"/>
      <c r="D272" s="35"/>
      <c r="E272" s="35"/>
      <c r="F272" s="35"/>
      <c r="G272" s="35"/>
      <c r="H272" s="35"/>
      <c r="I272" s="35"/>
    </row>
    <row r="273" spans="1:9" ht="14.5">
      <c r="A273" s="35"/>
      <c r="B273" s="35"/>
      <c r="C273" s="69"/>
      <c r="D273" s="35"/>
      <c r="E273" s="35"/>
      <c r="F273" s="35"/>
      <c r="G273" s="35"/>
      <c r="H273" s="35"/>
      <c r="I273" s="35"/>
    </row>
    <row r="274" spans="1:9" ht="14.5">
      <c r="A274" s="35"/>
      <c r="B274" s="35"/>
      <c r="C274" s="69"/>
      <c r="D274" s="35"/>
      <c r="E274" s="35"/>
      <c r="F274" s="35"/>
      <c r="G274" s="35"/>
      <c r="H274" s="35"/>
      <c r="I274" s="35"/>
    </row>
    <row r="275" spans="1:9" ht="14.5">
      <c r="A275" s="35"/>
      <c r="B275" s="35"/>
      <c r="C275" s="69"/>
      <c r="D275" s="35"/>
      <c r="E275" s="35"/>
      <c r="F275" s="35"/>
      <c r="G275" s="35"/>
      <c r="H275" s="35"/>
      <c r="I275" s="35"/>
    </row>
    <row r="276" spans="1:9" ht="14.5">
      <c r="A276" s="35"/>
      <c r="B276" s="35"/>
      <c r="C276" s="69"/>
      <c r="D276" s="35"/>
      <c r="E276" s="35"/>
      <c r="F276" s="35"/>
      <c r="G276" s="35"/>
      <c r="H276" s="35"/>
      <c r="I276" s="35"/>
    </row>
    <row r="277" spans="1:9" ht="14.5">
      <c r="A277" s="35"/>
      <c r="B277" s="35"/>
      <c r="C277" s="69"/>
      <c r="D277" s="35"/>
      <c r="E277" s="35"/>
      <c r="F277" s="35"/>
      <c r="G277" s="35"/>
      <c r="H277" s="35"/>
      <c r="I277" s="35"/>
    </row>
    <row r="278" spans="1:9" ht="14.5">
      <c r="A278" s="35"/>
      <c r="B278" s="35"/>
      <c r="C278" s="69"/>
      <c r="D278" s="35"/>
      <c r="E278" s="35"/>
      <c r="F278" s="35"/>
      <c r="G278" s="35"/>
      <c r="H278" s="35"/>
      <c r="I278" s="35"/>
    </row>
    <row r="279" spans="1:9" ht="14.5">
      <c r="A279" s="35"/>
      <c r="B279" s="35"/>
      <c r="C279" s="69"/>
      <c r="D279" s="35"/>
      <c r="E279" s="35"/>
      <c r="F279" s="35"/>
      <c r="G279" s="35"/>
      <c r="H279" s="35"/>
      <c r="I279" s="35"/>
    </row>
    <row r="280" spans="1:9" ht="14.5">
      <c r="A280" s="35"/>
      <c r="B280" s="35"/>
      <c r="C280" s="69"/>
      <c r="D280" s="35"/>
      <c r="E280" s="35"/>
      <c r="F280" s="35"/>
      <c r="G280" s="35"/>
      <c r="H280" s="35"/>
      <c r="I280" s="35"/>
    </row>
    <row r="281" spans="1:9" ht="14.5">
      <c r="A281" s="35"/>
      <c r="B281" s="35"/>
      <c r="C281" s="69"/>
      <c r="D281" s="35"/>
      <c r="E281" s="35"/>
      <c r="F281" s="35"/>
      <c r="G281" s="35"/>
      <c r="H281" s="35"/>
      <c r="I281" s="35"/>
    </row>
    <row r="282" spans="1:9" ht="14.5">
      <c r="A282" s="35"/>
      <c r="B282" s="35"/>
      <c r="C282" s="69"/>
      <c r="D282" s="35"/>
      <c r="E282" s="35"/>
      <c r="F282" s="35"/>
      <c r="G282" s="35"/>
      <c r="H282" s="35"/>
      <c r="I282" s="35"/>
    </row>
    <row r="283" spans="1:9" ht="14.5">
      <c r="A283" s="35"/>
      <c r="B283" s="35"/>
      <c r="C283" s="69"/>
      <c r="D283" s="35"/>
      <c r="E283" s="35"/>
      <c r="F283" s="35"/>
      <c r="G283" s="35"/>
      <c r="H283" s="35"/>
      <c r="I283" s="35"/>
    </row>
    <row r="284" spans="1:9" ht="14.5">
      <c r="A284" s="35"/>
      <c r="B284" s="35"/>
      <c r="C284" s="69"/>
      <c r="D284" s="35"/>
      <c r="E284" s="35"/>
      <c r="F284" s="35"/>
      <c r="G284" s="35"/>
      <c r="H284" s="35"/>
      <c r="I284" s="35"/>
    </row>
    <row r="285" spans="1:9" ht="14.5">
      <c r="A285" s="35"/>
      <c r="B285" s="35"/>
      <c r="C285" s="69"/>
      <c r="D285" s="35"/>
      <c r="E285" s="35"/>
      <c r="F285" s="35"/>
      <c r="G285" s="35"/>
      <c r="H285" s="35"/>
      <c r="I285" s="35"/>
    </row>
    <row r="286" spans="1:9" ht="14.5">
      <c r="A286" s="35"/>
      <c r="B286" s="35"/>
      <c r="C286" s="69"/>
      <c r="D286" s="35"/>
      <c r="E286" s="35"/>
      <c r="F286" s="35"/>
      <c r="G286" s="35"/>
      <c r="H286" s="35"/>
      <c r="I286" s="35"/>
    </row>
    <row r="287" spans="1:9" ht="14.5">
      <c r="A287" s="35"/>
      <c r="B287" s="35"/>
      <c r="C287" s="69"/>
      <c r="D287" s="35"/>
      <c r="E287" s="35"/>
      <c r="F287" s="35"/>
      <c r="G287" s="35"/>
      <c r="H287" s="35"/>
      <c r="I287" s="35"/>
    </row>
    <row r="288" spans="1:9" ht="14.5">
      <c r="A288" s="35"/>
      <c r="B288" s="35"/>
      <c r="C288" s="69"/>
      <c r="D288" s="35"/>
      <c r="E288" s="35"/>
      <c r="F288" s="35"/>
      <c r="G288" s="35"/>
      <c r="H288" s="35"/>
      <c r="I288" s="35"/>
    </row>
    <row r="289" spans="1:9" ht="14.5">
      <c r="A289" s="35"/>
      <c r="B289" s="35"/>
      <c r="C289" s="69"/>
      <c r="D289" s="35"/>
      <c r="E289" s="35"/>
      <c r="F289" s="35"/>
      <c r="G289" s="35"/>
      <c r="H289" s="35"/>
      <c r="I289" s="35"/>
    </row>
    <row r="290" spans="1:9" ht="14.5">
      <c r="A290" s="35"/>
      <c r="B290" s="35"/>
      <c r="C290" s="69"/>
      <c r="D290" s="35"/>
      <c r="E290" s="35"/>
      <c r="F290" s="35"/>
      <c r="G290" s="35"/>
      <c r="H290" s="35"/>
      <c r="I290" s="35"/>
    </row>
    <row r="291" spans="1:9" ht="14.5">
      <c r="A291" s="35"/>
      <c r="B291" s="35"/>
      <c r="C291" s="69"/>
      <c r="D291" s="35"/>
      <c r="E291" s="35"/>
      <c r="F291" s="35"/>
      <c r="G291" s="35"/>
      <c r="H291" s="35"/>
      <c r="I291" s="35"/>
    </row>
    <row r="292" spans="1:9" ht="14.5">
      <c r="A292" s="35"/>
      <c r="B292" s="35"/>
      <c r="C292" s="69"/>
      <c r="D292" s="35"/>
      <c r="E292" s="35"/>
      <c r="F292" s="35"/>
      <c r="G292" s="35"/>
      <c r="H292" s="35"/>
      <c r="I292" s="35"/>
    </row>
    <row r="293" spans="1:9" ht="14.5">
      <c r="A293" s="35"/>
      <c r="B293" s="35"/>
      <c r="C293" s="69"/>
      <c r="D293" s="35"/>
      <c r="E293" s="35"/>
      <c r="F293" s="35"/>
      <c r="G293" s="35"/>
      <c r="H293" s="35"/>
      <c r="I293" s="35"/>
    </row>
    <row r="294" spans="1:9" ht="14.5">
      <c r="A294" s="35"/>
      <c r="B294" s="35"/>
      <c r="C294" s="69"/>
      <c r="D294" s="35"/>
      <c r="E294" s="35"/>
      <c r="F294" s="35"/>
      <c r="G294" s="35"/>
      <c r="H294" s="35"/>
      <c r="I294" s="35"/>
    </row>
    <row r="295" spans="1:9" ht="14.5">
      <c r="A295" s="35"/>
      <c r="B295" s="35"/>
      <c r="C295" s="69"/>
      <c r="D295" s="35"/>
      <c r="E295" s="35"/>
      <c r="F295" s="35"/>
      <c r="G295" s="35"/>
      <c r="H295" s="35"/>
      <c r="I295" s="35"/>
    </row>
    <row r="296" spans="1:9" ht="14.5">
      <c r="A296" s="35"/>
      <c r="B296" s="35"/>
      <c r="C296" s="69"/>
      <c r="D296" s="35"/>
      <c r="E296" s="35"/>
      <c r="F296" s="35"/>
      <c r="G296" s="35"/>
      <c r="H296" s="35"/>
      <c r="I296" s="35"/>
    </row>
    <row r="297" spans="1:9" ht="14.5">
      <c r="A297" s="35"/>
      <c r="B297" s="35"/>
      <c r="C297" s="69"/>
      <c r="D297" s="35"/>
      <c r="E297" s="35"/>
      <c r="F297" s="35"/>
      <c r="G297" s="35"/>
      <c r="H297" s="35"/>
      <c r="I297" s="35"/>
    </row>
    <row r="298" spans="1:9" ht="14.5">
      <c r="A298" s="35"/>
      <c r="B298" s="35"/>
      <c r="C298" s="69"/>
      <c r="D298" s="35"/>
      <c r="E298" s="35"/>
      <c r="F298" s="35"/>
      <c r="G298" s="35"/>
      <c r="H298" s="35"/>
      <c r="I298" s="35"/>
    </row>
    <row r="299" spans="1:9" ht="14.5">
      <c r="A299" s="35"/>
      <c r="B299" s="35"/>
      <c r="C299" s="69"/>
      <c r="D299" s="35"/>
      <c r="E299" s="35"/>
      <c r="F299" s="35"/>
      <c r="G299" s="35"/>
      <c r="H299" s="35"/>
      <c r="I299" s="35"/>
    </row>
    <row r="300" spans="1:9" ht="14.5">
      <c r="A300" s="35"/>
      <c r="B300" s="35"/>
      <c r="C300" s="69"/>
      <c r="D300" s="35"/>
      <c r="E300" s="35"/>
      <c r="F300" s="35"/>
      <c r="G300" s="35"/>
      <c r="H300" s="35"/>
      <c r="I300" s="35"/>
    </row>
    <row r="301" spans="1:9" ht="14.5">
      <c r="A301" s="35"/>
      <c r="B301" s="35"/>
      <c r="C301" s="69"/>
      <c r="D301" s="35"/>
      <c r="E301" s="35"/>
      <c r="F301" s="35"/>
      <c r="G301" s="35"/>
      <c r="H301" s="35"/>
      <c r="I301" s="35"/>
    </row>
    <row r="302" spans="1:9" ht="14.5">
      <c r="A302" s="35"/>
      <c r="B302" s="35"/>
      <c r="C302" s="69"/>
      <c r="D302" s="35"/>
      <c r="E302" s="35"/>
      <c r="F302" s="35"/>
      <c r="G302" s="35"/>
      <c r="H302" s="35"/>
      <c r="I302" s="35"/>
    </row>
    <row r="303" spans="1:9" ht="14.5">
      <c r="A303" s="35"/>
      <c r="B303" s="35"/>
      <c r="C303" s="69"/>
      <c r="D303" s="35"/>
      <c r="E303" s="35"/>
      <c r="F303" s="35"/>
      <c r="G303" s="35"/>
      <c r="H303" s="35"/>
      <c r="I303" s="35"/>
    </row>
    <row r="304" spans="1:9" ht="14.5">
      <c r="A304" s="35"/>
      <c r="B304" s="35"/>
      <c r="C304" s="69"/>
      <c r="D304" s="35"/>
      <c r="E304" s="35"/>
      <c r="F304" s="35"/>
      <c r="G304" s="35"/>
      <c r="H304" s="35"/>
      <c r="I304" s="35"/>
    </row>
    <row r="305" spans="1:9" ht="14.5">
      <c r="A305" s="35"/>
      <c r="B305" s="35"/>
      <c r="C305" s="69"/>
      <c r="D305" s="35"/>
      <c r="E305" s="35"/>
      <c r="F305" s="35"/>
      <c r="G305" s="35"/>
      <c r="H305" s="35"/>
      <c r="I305" s="35"/>
    </row>
    <row r="306" spans="1:9" ht="14.5">
      <c r="A306" s="35"/>
      <c r="B306" s="35"/>
      <c r="C306" s="69"/>
      <c r="D306" s="35"/>
      <c r="E306" s="35"/>
      <c r="F306" s="35"/>
      <c r="G306" s="35"/>
      <c r="H306" s="35"/>
      <c r="I306" s="35"/>
    </row>
    <row r="307" spans="1:9" ht="14.5">
      <c r="A307" s="35"/>
      <c r="B307" s="35"/>
      <c r="C307" s="69"/>
      <c r="D307" s="35"/>
      <c r="E307" s="35"/>
      <c r="F307" s="35"/>
      <c r="G307" s="35"/>
      <c r="H307" s="35"/>
      <c r="I307" s="35"/>
    </row>
    <row r="308" spans="1:9" ht="14.5">
      <c r="A308" s="35"/>
      <c r="B308" s="35"/>
      <c r="C308" s="69"/>
      <c r="D308" s="35"/>
      <c r="E308" s="35"/>
      <c r="F308" s="35"/>
      <c r="G308" s="35"/>
      <c r="H308" s="35"/>
      <c r="I308" s="35"/>
    </row>
    <row r="309" spans="1:9" ht="14.5">
      <c r="A309" s="35"/>
      <c r="B309" s="35"/>
      <c r="C309" s="69"/>
      <c r="D309" s="35"/>
      <c r="E309" s="35"/>
      <c r="F309" s="35"/>
      <c r="G309" s="35"/>
      <c r="H309" s="35"/>
      <c r="I309" s="35"/>
    </row>
    <row r="310" spans="1:9" ht="14.5">
      <c r="A310" s="35"/>
      <c r="B310" s="35"/>
      <c r="C310" s="69"/>
      <c r="D310" s="35"/>
      <c r="E310" s="35"/>
      <c r="F310" s="35"/>
      <c r="G310" s="35"/>
      <c r="H310" s="35"/>
      <c r="I310" s="35"/>
    </row>
    <row r="311" spans="1:9" ht="14.5">
      <c r="A311" s="35"/>
      <c r="B311" s="35"/>
      <c r="C311" s="69"/>
      <c r="D311" s="35"/>
      <c r="E311" s="35"/>
      <c r="F311" s="35"/>
      <c r="G311" s="35"/>
      <c r="H311" s="35"/>
      <c r="I311" s="35"/>
    </row>
    <row r="312" spans="1:9" ht="14.5">
      <c r="A312" s="35"/>
      <c r="B312" s="35"/>
      <c r="C312" s="69"/>
      <c r="D312" s="35"/>
      <c r="E312" s="35"/>
      <c r="F312" s="35"/>
      <c r="G312" s="35"/>
      <c r="H312" s="35"/>
      <c r="I312" s="35"/>
    </row>
    <row r="313" spans="1:9" ht="14.5">
      <c r="A313" s="35"/>
      <c r="B313" s="35"/>
      <c r="C313" s="69"/>
      <c r="D313" s="35"/>
      <c r="E313" s="35"/>
      <c r="F313" s="35"/>
      <c r="G313" s="35"/>
      <c r="H313" s="35"/>
      <c r="I313" s="35"/>
    </row>
    <row r="314" spans="1:9" ht="14.5">
      <c r="A314" s="35"/>
      <c r="B314" s="35"/>
      <c r="C314" s="69"/>
      <c r="D314" s="35"/>
      <c r="E314" s="35"/>
      <c r="F314" s="35"/>
      <c r="G314" s="35"/>
      <c r="H314" s="35"/>
      <c r="I314" s="35"/>
    </row>
    <row r="315" spans="1:9" ht="14.5">
      <c r="A315" s="35"/>
      <c r="B315" s="35"/>
      <c r="C315" s="69"/>
      <c r="D315" s="35"/>
      <c r="E315" s="35"/>
      <c r="F315" s="35"/>
      <c r="G315" s="35"/>
      <c r="H315" s="35"/>
      <c r="I315" s="35"/>
    </row>
    <row r="316" spans="1:9" ht="14.5">
      <c r="A316" s="35"/>
      <c r="B316" s="35"/>
      <c r="C316" s="69"/>
      <c r="D316" s="35"/>
      <c r="E316" s="35"/>
      <c r="F316" s="35"/>
      <c r="G316" s="35"/>
      <c r="H316" s="35"/>
      <c r="I316" s="35"/>
    </row>
    <row r="317" spans="1:9" ht="14.5">
      <c r="A317" s="35"/>
      <c r="B317" s="35"/>
      <c r="C317" s="69"/>
      <c r="D317" s="35"/>
      <c r="E317" s="35"/>
      <c r="F317" s="35"/>
      <c r="G317" s="35"/>
      <c r="H317" s="35"/>
      <c r="I317" s="35"/>
    </row>
    <row r="318" spans="1:9" ht="14.5">
      <c r="A318" s="35"/>
      <c r="B318" s="35"/>
      <c r="C318" s="69"/>
      <c r="D318" s="35"/>
      <c r="E318" s="35"/>
      <c r="F318" s="35"/>
      <c r="G318" s="35"/>
      <c r="H318" s="35"/>
      <c r="I318" s="35"/>
    </row>
    <row r="319" spans="1:9" ht="14.5">
      <c r="A319" s="35"/>
      <c r="B319" s="35"/>
      <c r="C319" s="69"/>
      <c r="D319" s="35"/>
      <c r="E319" s="35"/>
      <c r="F319" s="35"/>
      <c r="G319" s="35"/>
      <c r="H319" s="35"/>
      <c r="I319" s="35"/>
    </row>
    <row r="320" spans="1:9" ht="14.5">
      <c r="A320" s="35"/>
      <c r="B320" s="35"/>
      <c r="C320" s="69"/>
      <c r="D320" s="35"/>
      <c r="E320" s="35"/>
      <c r="F320" s="35"/>
      <c r="G320" s="35"/>
      <c r="H320" s="35"/>
      <c r="I320" s="35"/>
    </row>
    <row r="321" spans="1:9" ht="14.5">
      <c r="A321" s="35"/>
      <c r="B321" s="35"/>
      <c r="C321" s="69"/>
      <c r="D321" s="35"/>
      <c r="E321" s="35"/>
      <c r="F321" s="35"/>
      <c r="G321" s="35"/>
      <c r="H321" s="35"/>
      <c r="I321" s="35"/>
    </row>
    <row r="322" spans="1:9" ht="14.5">
      <c r="A322" s="35"/>
      <c r="B322" s="35"/>
      <c r="C322" s="69"/>
      <c r="D322" s="35"/>
      <c r="E322" s="35"/>
      <c r="F322" s="35"/>
      <c r="G322" s="35"/>
      <c r="H322" s="35"/>
      <c r="I322" s="35"/>
    </row>
    <row r="323" spans="1:9" ht="14.5">
      <c r="A323" s="35"/>
      <c r="B323" s="35"/>
      <c r="C323" s="69"/>
      <c r="D323" s="35"/>
      <c r="E323" s="35"/>
      <c r="F323" s="35"/>
      <c r="G323" s="35"/>
      <c r="H323" s="35"/>
      <c r="I323" s="35"/>
    </row>
    <row r="324" spans="1:9" ht="14.5">
      <c r="A324" s="35"/>
      <c r="B324" s="35"/>
      <c r="C324" s="69"/>
      <c r="D324" s="35"/>
      <c r="E324" s="35"/>
      <c r="F324" s="35"/>
      <c r="G324" s="35"/>
      <c r="H324" s="35"/>
      <c r="I324" s="35"/>
    </row>
    <row r="325" spans="1:9" ht="14.5">
      <c r="A325" s="35"/>
      <c r="B325" s="35"/>
      <c r="C325" s="69"/>
      <c r="D325" s="35"/>
      <c r="E325" s="35"/>
      <c r="F325" s="35"/>
      <c r="G325" s="35"/>
      <c r="H325" s="35"/>
      <c r="I325" s="35"/>
    </row>
    <row r="326" spans="1:9" ht="14.5">
      <c r="A326" s="35"/>
      <c r="B326" s="35"/>
      <c r="C326" s="69"/>
      <c r="D326" s="35"/>
      <c r="E326" s="35"/>
      <c r="F326" s="35"/>
      <c r="G326" s="35"/>
      <c r="H326" s="35"/>
      <c r="I326" s="35"/>
    </row>
    <row r="327" spans="1:9" ht="14.5">
      <c r="A327" s="35"/>
      <c r="B327" s="35"/>
      <c r="C327" s="69"/>
      <c r="D327" s="35"/>
      <c r="E327" s="35"/>
      <c r="F327" s="35"/>
      <c r="G327" s="35"/>
      <c r="H327" s="35"/>
      <c r="I327" s="35"/>
    </row>
    <row r="328" spans="1:9" ht="14.5">
      <c r="A328" s="35"/>
      <c r="B328" s="35"/>
      <c r="C328" s="69"/>
      <c r="D328" s="35"/>
      <c r="E328" s="35"/>
      <c r="F328" s="35"/>
      <c r="G328" s="35"/>
      <c r="H328" s="35"/>
      <c r="I328" s="35"/>
    </row>
    <row r="329" spans="1:9" ht="14.5">
      <c r="A329" s="35"/>
      <c r="B329" s="35"/>
      <c r="C329" s="69"/>
      <c r="D329" s="35"/>
      <c r="E329" s="35"/>
      <c r="F329" s="35"/>
      <c r="G329" s="35"/>
      <c r="H329" s="35"/>
      <c r="I329" s="35"/>
    </row>
    <row r="330" spans="1:9" ht="14.5">
      <c r="A330" s="35"/>
      <c r="B330" s="35"/>
      <c r="C330" s="69"/>
      <c r="D330" s="35"/>
      <c r="E330" s="35"/>
      <c r="F330" s="35"/>
      <c r="G330" s="35"/>
      <c r="H330" s="35"/>
      <c r="I330" s="35"/>
    </row>
    <row r="331" spans="1:9" ht="14.5">
      <c r="A331" s="35"/>
      <c r="B331" s="35"/>
      <c r="C331" s="69"/>
      <c r="D331" s="35"/>
      <c r="E331" s="35"/>
      <c r="F331" s="35"/>
      <c r="G331" s="35"/>
      <c r="H331" s="35"/>
      <c r="I331" s="35"/>
    </row>
    <row r="332" spans="1:9" ht="14.5">
      <c r="A332" s="35"/>
      <c r="B332" s="35"/>
      <c r="C332" s="69"/>
      <c r="D332" s="35"/>
      <c r="E332" s="35"/>
      <c r="F332" s="35"/>
      <c r="G332" s="35"/>
      <c r="H332" s="35"/>
      <c r="I332" s="35"/>
    </row>
    <row r="333" spans="1:9" ht="14.5">
      <c r="A333" s="35"/>
      <c r="B333" s="35"/>
      <c r="C333" s="69"/>
      <c r="D333" s="35"/>
      <c r="E333" s="35"/>
      <c r="F333" s="35"/>
      <c r="G333" s="35"/>
      <c r="H333" s="35"/>
      <c r="I333" s="35"/>
    </row>
    <row r="334" spans="1:9" ht="14.5">
      <c r="A334" s="35"/>
      <c r="B334" s="35"/>
      <c r="C334" s="69"/>
      <c r="D334" s="35"/>
      <c r="E334" s="35"/>
      <c r="F334" s="35"/>
      <c r="G334" s="35"/>
      <c r="H334" s="35"/>
      <c r="I334" s="35"/>
    </row>
    <row r="335" spans="1:9" ht="14.5">
      <c r="A335" s="35"/>
      <c r="B335" s="35"/>
      <c r="C335" s="69"/>
      <c r="D335" s="35"/>
      <c r="E335" s="35"/>
      <c r="F335" s="35"/>
      <c r="G335" s="35"/>
      <c r="H335" s="35"/>
      <c r="I335" s="35"/>
    </row>
    <row r="336" spans="1:9" ht="14.5">
      <c r="A336" s="35"/>
      <c r="B336" s="35"/>
      <c r="C336" s="69"/>
      <c r="D336" s="35"/>
      <c r="E336" s="35"/>
      <c r="F336" s="35"/>
      <c r="G336" s="35"/>
      <c r="H336" s="35"/>
      <c r="I336" s="35"/>
    </row>
    <row r="337" spans="1:9" ht="14.5">
      <c r="A337" s="35"/>
      <c r="B337" s="35"/>
      <c r="C337" s="69"/>
      <c r="D337" s="35"/>
      <c r="E337" s="35"/>
      <c r="F337" s="35"/>
      <c r="G337" s="35"/>
      <c r="H337" s="35"/>
      <c r="I337" s="35"/>
    </row>
    <row r="338" spans="1:9" ht="14.5">
      <c r="A338" s="35"/>
      <c r="B338" s="35"/>
      <c r="C338" s="69"/>
      <c r="D338" s="35"/>
      <c r="E338" s="35"/>
      <c r="F338" s="35"/>
      <c r="G338" s="35"/>
      <c r="H338" s="35"/>
      <c r="I338" s="35"/>
    </row>
    <row r="339" spans="1:9" ht="14.5">
      <c r="A339" s="35"/>
      <c r="B339" s="35"/>
      <c r="C339" s="69"/>
      <c r="D339" s="35"/>
      <c r="E339" s="35"/>
      <c r="F339" s="35"/>
      <c r="G339" s="35"/>
      <c r="H339" s="35"/>
      <c r="I339" s="35"/>
    </row>
    <row r="340" spans="1:9" ht="14.5">
      <c r="A340" s="35"/>
      <c r="B340" s="35"/>
      <c r="C340" s="69"/>
      <c r="D340" s="35"/>
      <c r="E340" s="35"/>
      <c r="F340" s="35"/>
      <c r="G340" s="35"/>
      <c r="H340" s="35"/>
      <c r="I340" s="35"/>
    </row>
    <row r="341" spans="1:9" ht="14.5">
      <c r="A341" s="35"/>
      <c r="B341" s="35"/>
      <c r="C341" s="69"/>
      <c r="D341" s="35"/>
      <c r="E341" s="35"/>
      <c r="F341" s="35"/>
      <c r="G341" s="35"/>
      <c r="H341" s="35"/>
      <c r="I341" s="35"/>
    </row>
    <row r="342" spans="1:9" ht="14.5">
      <c r="A342" s="35"/>
      <c r="B342" s="35"/>
      <c r="C342" s="69"/>
      <c r="D342" s="35"/>
      <c r="E342" s="35"/>
      <c r="F342" s="35"/>
      <c r="G342" s="35"/>
      <c r="H342" s="35"/>
      <c r="I342" s="35"/>
    </row>
    <row r="343" spans="1:9" ht="14.5">
      <c r="A343" s="35"/>
      <c r="B343" s="35"/>
      <c r="C343" s="69"/>
      <c r="D343" s="35"/>
      <c r="E343" s="35"/>
      <c r="F343" s="35"/>
      <c r="G343" s="35"/>
      <c r="H343" s="35"/>
      <c r="I343" s="35"/>
    </row>
    <row r="344" spans="1:9" ht="14.5">
      <c r="A344" s="35"/>
      <c r="B344" s="35"/>
      <c r="C344" s="69"/>
      <c r="D344" s="35"/>
      <c r="E344" s="35"/>
      <c r="F344" s="35"/>
      <c r="G344" s="35"/>
      <c r="H344" s="35"/>
      <c r="I344" s="35"/>
    </row>
    <row r="345" spans="1:9" ht="14.5">
      <c r="A345" s="35"/>
      <c r="B345" s="35"/>
      <c r="C345" s="69"/>
      <c r="D345" s="35"/>
      <c r="E345" s="35"/>
      <c r="F345" s="35"/>
      <c r="G345" s="35"/>
      <c r="H345" s="35"/>
      <c r="I345" s="35"/>
    </row>
    <row r="346" spans="1:9" ht="14.5">
      <c r="A346" s="35"/>
      <c r="B346" s="35"/>
      <c r="C346" s="69"/>
      <c r="D346" s="35"/>
      <c r="E346" s="35"/>
      <c r="F346" s="35"/>
      <c r="G346" s="35"/>
      <c r="H346" s="35"/>
      <c r="I346" s="35"/>
    </row>
    <row r="347" spans="1:9" ht="14.5">
      <c r="A347" s="35"/>
      <c r="B347" s="35"/>
      <c r="C347" s="69"/>
      <c r="D347" s="35"/>
      <c r="E347" s="35"/>
      <c r="F347" s="35"/>
      <c r="G347" s="35"/>
      <c r="H347" s="35"/>
      <c r="I347" s="35"/>
    </row>
    <row r="348" spans="1:9" ht="14.5">
      <c r="A348" s="35"/>
      <c r="B348" s="35"/>
      <c r="C348" s="69"/>
      <c r="D348" s="35"/>
      <c r="E348" s="35"/>
      <c r="F348" s="35"/>
      <c r="G348" s="35"/>
      <c r="H348" s="35"/>
      <c r="I348" s="35"/>
    </row>
    <row r="349" spans="1:9" ht="14.5">
      <c r="A349" s="35"/>
      <c r="B349" s="35"/>
      <c r="C349" s="69"/>
      <c r="D349" s="35"/>
      <c r="E349" s="35"/>
      <c r="F349" s="35"/>
      <c r="G349" s="35"/>
      <c r="H349" s="35"/>
      <c r="I349" s="35"/>
    </row>
    <row r="350" spans="1:9" ht="14.5">
      <c r="A350" s="35"/>
      <c r="B350" s="35"/>
      <c r="C350" s="69"/>
      <c r="D350" s="35"/>
      <c r="E350" s="35"/>
      <c r="F350" s="35"/>
      <c r="G350" s="35"/>
      <c r="H350" s="35"/>
      <c r="I350" s="35"/>
    </row>
    <row r="351" spans="1:9" ht="14.5">
      <c r="A351" s="35"/>
      <c r="B351" s="35"/>
      <c r="C351" s="69"/>
      <c r="D351" s="35"/>
      <c r="E351" s="35"/>
      <c r="F351" s="35"/>
      <c r="G351" s="35"/>
      <c r="H351" s="35"/>
      <c r="I351" s="35"/>
    </row>
    <row r="352" spans="1:9" ht="14.5">
      <c r="A352" s="35"/>
      <c r="B352" s="35"/>
      <c r="C352" s="69"/>
      <c r="D352" s="35"/>
      <c r="E352" s="35"/>
      <c r="F352" s="35"/>
      <c r="G352" s="35"/>
      <c r="H352" s="35"/>
      <c r="I352" s="35"/>
    </row>
    <row r="353" spans="1:9" ht="14.5">
      <c r="A353" s="35"/>
      <c r="B353" s="35"/>
      <c r="C353" s="69"/>
      <c r="D353" s="35"/>
      <c r="E353" s="35"/>
      <c r="F353" s="35"/>
      <c r="G353" s="35"/>
      <c r="H353" s="35"/>
      <c r="I353" s="35"/>
    </row>
    <row r="354" spans="1:9" ht="14.5">
      <c r="A354" s="35"/>
      <c r="B354" s="35"/>
      <c r="C354" s="69"/>
      <c r="D354" s="35"/>
      <c r="E354" s="35"/>
      <c r="F354" s="35"/>
      <c r="G354" s="35"/>
      <c r="H354" s="35"/>
      <c r="I354" s="35"/>
    </row>
    <row r="355" spans="1:9" ht="14.5">
      <c r="A355" s="35"/>
      <c r="B355" s="35"/>
      <c r="C355" s="69"/>
      <c r="D355" s="35"/>
      <c r="E355" s="35"/>
      <c r="F355" s="35"/>
      <c r="G355" s="35"/>
      <c r="H355" s="35"/>
      <c r="I355" s="35"/>
    </row>
    <row r="356" spans="1:9" ht="14.5">
      <c r="A356" s="35"/>
      <c r="B356" s="35"/>
      <c r="C356" s="69"/>
      <c r="D356" s="35"/>
      <c r="E356" s="35"/>
      <c r="F356" s="35"/>
      <c r="G356" s="35"/>
      <c r="H356" s="35"/>
      <c r="I356" s="35"/>
    </row>
    <row r="357" spans="1:9" ht="14.5">
      <c r="A357" s="35"/>
      <c r="B357" s="35"/>
      <c r="C357" s="69"/>
      <c r="D357" s="35"/>
      <c r="E357" s="35"/>
      <c r="F357" s="35"/>
      <c r="G357" s="35"/>
      <c r="H357" s="35"/>
      <c r="I357" s="35"/>
    </row>
    <row r="358" spans="1:9" ht="14.5">
      <c r="A358" s="35"/>
      <c r="B358" s="35"/>
      <c r="C358" s="69"/>
      <c r="D358" s="35"/>
      <c r="E358" s="35"/>
      <c r="F358" s="35"/>
      <c r="G358" s="35"/>
      <c r="H358" s="35"/>
      <c r="I358" s="35"/>
    </row>
    <row r="359" spans="1:9" ht="14.5">
      <c r="A359" s="35"/>
      <c r="B359" s="35"/>
      <c r="C359" s="69"/>
      <c r="D359" s="35"/>
      <c r="E359" s="35"/>
      <c r="F359" s="35"/>
      <c r="G359" s="35"/>
      <c r="H359" s="35"/>
      <c r="I359" s="35"/>
    </row>
    <row r="360" spans="1:9" ht="14.5">
      <c r="A360" s="35"/>
      <c r="B360" s="35"/>
      <c r="C360" s="69"/>
      <c r="D360" s="35"/>
      <c r="E360" s="35"/>
      <c r="F360" s="35"/>
      <c r="G360" s="35"/>
      <c r="H360" s="35"/>
      <c r="I360" s="35"/>
    </row>
    <row r="361" spans="1:9" ht="14.5">
      <c r="A361" s="35"/>
      <c r="B361" s="35"/>
      <c r="C361" s="69"/>
      <c r="D361" s="35"/>
      <c r="E361" s="35"/>
      <c r="F361" s="35"/>
      <c r="G361" s="35"/>
      <c r="H361" s="35"/>
      <c r="I361" s="35"/>
    </row>
    <row r="362" spans="1:9" ht="14.5">
      <c r="A362" s="35"/>
      <c r="B362" s="35"/>
      <c r="C362" s="69"/>
      <c r="D362" s="35"/>
      <c r="E362" s="35"/>
      <c r="F362" s="35"/>
      <c r="G362" s="35"/>
      <c r="H362" s="35"/>
      <c r="I362" s="35"/>
    </row>
    <row r="363" spans="1:9" ht="14.5">
      <c r="A363" s="35"/>
      <c r="B363" s="35"/>
      <c r="C363" s="69"/>
      <c r="D363" s="35"/>
      <c r="E363" s="35"/>
      <c r="F363" s="35"/>
      <c r="G363" s="35"/>
      <c r="H363" s="35"/>
      <c r="I363" s="35"/>
    </row>
    <row r="364" spans="1:9" ht="14.5">
      <c r="A364" s="35"/>
      <c r="B364" s="35"/>
      <c r="C364" s="69"/>
      <c r="D364" s="35"/>
      <c r="E364" s="35"/>
      <c r="F364" s="35"/>
      <c r="G364" s="35"/>
      <c r="H364" s="35"/>
      <c r="I364" s="35"/>
    </row>
    <row r="365" spans="1:9" ht="14.5">
      <c r="A365" s="35"/>
      <c r="B365" s="35"/>
      <c r="C365" s="69"/>
      <c r="D365" s="35"/>
      <c r="E365" s="35"/>
      <c r="F365" s="35"/>
      <c r="G365" s="35"/>
      <c r="H365" s="35"/>
      <c r="I365" s="35"/>
    </row>
    <row r="366" spans="1:9" ht="14.5">
      <c r="A366" s="35"/>
      <c r="B366" s="35"/>
      <c r="C366" s="69"/>
      <c r="D366" s="35"/>
      <c r="E366" s="35"/>
      <c r="F366" s="35"/>
      <c r="G366" s="35"/>
      <c r="H366" s="35"/>
      <c r="I366" s="35"/>
    </row>
    <row r="367" spans="1:9" ht="14.5">
      <c r="A367" s="35"/>
      <c r="B367" s="35"/>
      <c r="C367" s="69"/>
      <c r="D367" s="35"/>
      <c r="E367" s="35"/>
      <c r="F367" s="35"/>
      <c r="G367" s="35"/>
      <c r="H367" s="35"/>
      <c r="I367" s="35"/>
    </row>
    <row r="368" spans="1:9" ht="14.5">
      <c r="A368" s="35"/>
      <c r="B368" s="35"/>
      <c r="C368" s="69"/>
      <c r="D368" s="35"/>
      <c r="E368" s="35"/>
      <c r="F368" s="35"/>
      <c r="G368" s="35"/>
      <c r="H368" s="35"/>
      <c r="I368" s="35"/>
    </row>
    <row r="369" spans="1:9" ht="14.5">
      <c r="A369" s="35"/>
      <c r="B369" s="35"/>
      <c r="C369" s="69"/>
      <c r="D369" s="35"/>
      <c r="E369" s="35"/>
      <c r="F369" s="35"/>
      <c r="G369" s="35"/>
      <c r="H369" s="35"/>
      <c r="I369" s="35"/>
    </row>
    <row r="370" spans="1:9" ht="14.5">
      <c r="A370" s="35"/>
      <c r="B370" s="35"/>
      <c r="C370" s="69"/>
      <c r="D370" s="35"/>
      <c r="E370" s="35"/>
      <c r="F370" s="35"/>
      <c r="G370" s="35"/>
      <c r="H370" s="35"/>
      <c r="I370" s="35"/>
    </row>
    <row r="371" spans="1:9" ht="14.5">
      <c r="A371" s="35"/>
      <c r="B371" s="35"/>
      <c r="C371" s="69"/>
      <c r="D371" s="35"/>
      <c r="E371" s="35"/>
      <c r="F371" s="35"/>
      <c r="G371" s="35"/>
      <c r="H371" s="35"/>
      <c r="I371" s="35"/>
    </row>
    <row r="372" spans="1:9" ht="14.5">
      <c r="A372" s="35"/>
      <c r="B372" s="35"/>
      <c r="C372" s="69"/>
      <c r="D372" s="35"/>
      <c r="E372" s="35"/>
      <c r="F372" s="35"/>
      <c r="G372" s="35"/>
      <c r="H372" s="35"/>
      <c r="I372" s="35"/>
    </row>
    <row r="373" spans="1:9" ht="14.5">
      <c r="A373" s="35"/>
      <c r="B373" s="35"/>
      <c r="C373" s="69"/>
      <c r="D373" s="35"/>
      <c r="E373" s="35"/>
      <c r="F373" s="35"/>
      <c r="G373" s="35"/>
      <c r="H373" s="35"/>
      <c r="I373" s="35"/>
    </row>
    <row r="374" spans="1:9" ht="14.5">
      <c r="A374" s="35"/>
      <c r="B374" s="35"/>
      <c r="C374" s="69"/>
      <c r="D374" s="35"/>
      <c r="E374" s="35"/>
      <c r="F374" s="35"/>
      <c r="G374" s="35"/>
      <c r="H374" s="35"/>
      <c r="I374" s="35"/>
    </row>
    <row r="375" spans="1:9" ht="14.5">
      <c r="A375" s="35"/>
      <c r="B375" s="35"/>
      <c r="C375" s="69"/>
      <c r="D375" s="35"/>
      <c r="E375" s="35"/>
      <c r="F375" s="35"/>
      <c r="G375" s="35"/>
      <c r="H375" s="35"/>
      <c r="I375" s="35"/>
    </row>
    <row r="376" spans="1:9" ht="14.5">
      <c r="A376" s="35"/>
      <c r="B376" s="35"/>
      <c r="C376" s="69"/>
      <c r="D376" s="35"/>
      <c r="E376" s="35"/>
      <c r="F376" s="35"/>
      <c r="G376" s="35"/>
      <c r="H376" s="35"/>
      <c r="I376" s="35"/>
    </row>
    <row r="377" spans="1:9" ht="14.5">
      <c r="A377" s="35"/>
      <c r="B377" s="35"/>
      <c r="C377" s="69"/>
      <c r="D377" s="35"/>
      <c r="E377" s="35"/>
      <c r="F377" s="35"/>
      <c r="G377" s="35"/>
      <c r="H377" s="35"/>
      <c r="I377" s="35"/>
    </row>
    <row r="378" spans="1:9" ht="14.5">
      <c r="A378" s="35"/>
      <c r="B378" s="35"/>
      <c r="C378" s="69"/>
      <c r="D378" s="35"/>
      <c r="E378" s="35"/>
      <c r="F378" s="35"/>
      <c r="G378" s="35"/>
      <c r="H378" s="35"/>
      <c r="I378" s="35"/>
    </row>
    <row r="379" spans="1:9" ht="14.5">
      <c r="A379" s="35"/>
      <c r="B379" s="35"/>
      <c r="C379" s="69"/>
      <c r="D379" s="35"/>
      <c r="E379" s="35"/>
      <c r="F379" s="35"/>
      <c r="G379" s="35"/>
      <c r="H379" s="35"/>
      <c r="I379" s="35"/>
    </row>
    <row r="380" spans="1:9" ht="14.5">
      <c r="A380" s="35"/>
      <c r="B380" s="35"/>
      <c r="C380" s="69"/>
      <c r="D380" s="35"/>
      <c r="E380" s="35"/>
      <c r="F380" s="35"/>
      <c r="G380" s="35"/>
      <c r="H380" s="35"/>
      <c r="I380" s="35"/>
    </row>
    <row r="381" spans="1:9" ht="14.5">
      <c r="A381" s="35"/>
      <c r="B381" s="35"/>
      <c r="C381" s="69"/>
      <c r="D381" s="35"/>
      <c r="E381" s="35"/>
      <c r="F381" s="35"/>
      <c r="G381" s="35"/>
      <c r="H381" s="35"/>
      <c r="I381" s="35"/>
    </row>
    <row r="382" spans="1:9" ht="14.5">
      <c r="A382" s="35"/>
      <c r="B382" s="35"/>
      <c r="C382" s="69"/>
      <c r="D382" s="35"/>
      <c r="E382" s="35"/>
      <c r="F382" s="35"/>
      <c r="G382" s="35"/>
      <c r="H382" s="35"/>
      <c r="I382" s="35"/>
    </row>
    <row r="383" spans="1:9" ht="14.5">
      <c r="A383" s="35"/>
      <c r="B383" s="35"/>
      <c r="C383" s="69"/>
      <c r="D383" s="35"/>
      <c r="E383" s="35"/>
      <c r="F383" s="35"/>
      <c r="G383" s="35"/>
      <c r="H383" s="35"/>
      <c r="I383" s="35"/>
    </row>
    <row r="384" spans="1:9" ht="14.5">
      <c r="A384" s="35"/>
      <c r="B384" s="35"/>
      <c r="C384" s="69"/>
      <c r="D384" s="35"/>
      <c r="E384" s="35"/>
      <c r="F384" s="35"/>
      <c r="G384" s="35"/>
      <c r="H384" s="35"/>
      <c r="I384" s="35"/>
    </row>
    <row r="385" spans="1:9" ht="14.5">
      <c r="A385" s="35"/>
      <c r="B385" s="35"/>
      <c r="C385" s="69"/>
      <c r="D385" s="35"/>
      <c r="E385" s="35"/>
      <c r="F385" s="35"/>
      <c r="G385" s="35"/>
      <c r="H385" s="35"/>
      <c r="I385" s="35"/>
    </row>
    <row r="386" spans="1:9" ht="14.5">
      <c r="A386" s="35"/>
      <c r="B386" s="35"/>
      <c r="C386" s="69"/>
      <c r="D386" s="35"/>
      <c r="E386" s="35"/>
      <c r="F386" s="35"/>
      <c r="G386" s="35"/>
      <c r="H386" s="35"/>
      <c r="I386" s="35"/>
    </row>
    <row r="387" spans="1:9" ht="14.5">
      <c r="A387" s="35"/>
      <c r="B387" s="35"/>
      <c r="C387" s="69"/>
      <c r="D387" s="35"/>
      <c r="E387" s="35"/>
      <c r="F387" s="35"/>
      <c r="G387" s="35"/>
      <c r="H387" s="35"/>
      <c r="I387" s="35"/>
    </row>
    <row r="388" spans="1:9" ht="14.5">
      <c r="A388" s="35"/>
      <c r="B388" s="35"/>
      <c r="C388" s="69"/>
      <c r="D388" s="35"/>
      <c r="E388" s="35"/>
      <c r="F388" s="35"/>
      <c r="G388" s="35"/>
      <c r="H388" s="35"/>
      <c r="I388" s="35"/>
    </row>
    <row r="389" spans="1:9" ht="14.5">
      <c r="A389" s="35"/>
      <c r="B389" s="35"/>
      <c r="C389" s="69"/>
      <c r="D389" s="35"/>
      <c r="E389" s="35"/>
      <c r="F389" s="35"/>
      <c r="G389" s="35"/>
      <c r="H389" s="35"/>
      <c r="I389" s="35"/>
    </row>
    <row r="390" spans="1:9" ht="14.5">
      <c r="A390" s="35"/>
      <c r="B390" s="35"/>
      <c r="C390" s="69"/>
      <c r="D390" s="35"/>
      <c r="E390" s="35"/>
      <c r="F390" s="35"/>
      <c r="G390" s="35"/>
      <c r="H390" s="35"/>
      <c r="I390" s="35"/>
    </row>
    <row r="391" spans="1:9" ht="14.5">
      <c r="A391" s="35"/>
      <c r="B391" s="35"/>
      <c r="C391" s="69"/>
      <c r="D391" s="35"/>
      <c r="E391" s="35"/>
      <c r="F391" s="35"/>
      <c r="G391" s="35"/>
      <c r="H391" s="35"/>
      <c r="I391" s="35"/>
    </row>
    <row r="392" spans="1:9" ht="14.5">
      <c r="A392" s="35"/>
      <c r="B392" s="35"/>
      <c r="C392" s="69"/>
      <c r="D392" s="35"/>
      <c r="E392" s="35"/>
      <c r="F392" s="35"/>
      <c r="G392" s="35"/>
      <c r="H392" s="35"/>
      <c r="I392" s="35"/>
    </row>
    <row r="393" spans="1:9" ht="14.5">
      <c r="A393" s="35"/>
      <c r="B393" s="35"/>
      <c r="C393" s="69"/>
      <c r="D393" s="35"/>
      <c r="E393" s="35"/>
      <c r="F393" s="35"/>
      <c r="G393" s="35"/>
      <c r="H393" s="35"/>
      <c r="I393" s="35"/>
    </row>
    <row r="394" spans="1:9" ht="14.5">
      <c r="A394" s="35"/>
      <c r="B394" s="35"/>
      <c r="C394" s="69"/>
      <c r="D394" s="35"/>
      <c r="E394" s="35"/>
      <c r="F394" s="35"/>
      <c r="G394" s="35"/>
      <c r="H394" s="35"/>
      <c r="I394" s="35"/>
    </row>
    <row r="395" spans="1:9" ht="14.5">
      <c r="A395" s="35"/>
      <c r="B395" s="35"/>
      <c r="C395" s="69"/>
      <c r="D395" s="35"/>
      <c r="E395" s="35"/>
      <c r="F395" s="35"/>
      <c r="G395" s="35"/>
      <c r="H395" s="35"/>
      <c r="I395" s="35"/>
    </row>
    <row r="396" spans="1:9" ht="14.5">
      <c r="A396" s="35"/>
      <c r="B396" s="35"/>
      <c r="C396" s="69"/>
      <c r="D396" s="35"/>
      <c r="E396" s="35"/>
      <c r="F396" s="35"/>
      <c r="G396" s="35"/>
      <c r="H396" s="35"/>
      <c r="I396" s="35"/>
    </row>
    <row r="397" spans="1:9" ht="14.5">
      <c r="A397" s="35"/>
      <c r="B397" s="35"/>
      <c r="C397" s="69"/>
      <c r="D397" s="35"/>
      <c r="E397" s="35"/>
      <c r="F397" s="35"/>
      <c r="G397" s="35"/>
      <c r="H397" s="35"/>
      <c r="I397" s="35"/>
    </row>
    <row r="398" spans="1:9" ht="14.5">
      <c r="A398" s="35"/>
      <c r="B398" s="35"/>
      <c r="C398" s="69"/>
      <c r="D398" s="35"/>
      <c r="E398" s="35"/>
      <c r="F398" s="35"/>
      <c r="G398" s="35"/>
      <c r="H398" s="35"/>
      <c r="I398" s="35"/>
    </row>
    <row r="399" spans="1:9" ht="14.5">
      <c r="A399" s="35"/>
      <c r="B399" s="35"/>
      <c r="C399" s="69"/>
      <c r="D399" s="35"/>
      <c r="E399" s="35"/>
      <c r="F399" s="35"/>
      <c r="G399" s="35"/>
      <c r="H399" s="35"/>
      <c r="I399" s="35"/>
    </row>
    <row r="400" spans="1:9" ht="14.5">
      <c r="A400" s="35"/>
      <c r="B400" s="35"/>
      <c r="C400" s="69"/>
      <c r="D400" s="35"/>
      <c r="E400" s="35"/>
      <c r="F400" s="35"/>
      <c r="G400" s="35"/>
      <c r="H400" s="35"/>
      <c r="I400" s="35"/>
    </row>
    <row r="401" spans="1:9" ht="14.5">
      <c r="A401" s="35"/>
      <c r="B401" s="35"/>
      <c r="C401" s="69"/>
      <c r="D401" s="35"/>
      <c r="E401" s="35"/>
      <c r="F401" s="35"/>
      <c r="G401" s="35"/>
      <c r="H401" s="35"/>
      <c r="I401" s="35"/>
    </row>
    <row r="402" spans="1:9" ht="14.5">
      <c r="A402" s="35"/>
      <c r="B402" s="35"/>
      <c r="C402" s="69"/>
      <c r="D402" s="35"/>
      <c r="E402" s="35"/>
      <c r="F402" s="35"/>
      <c r="G402" s="35"/>
      <c r="H402" s="35"/>
      <c r="I402" s="35"/>
    </row>
    <row r="403" spans="1:9" ht="14.5">
      <c r="A403" s="35"/>
      <c r="B403" s="35"/>
      <c r="C403" s="69"/>
      <c r="D403" s="35"/>
      <c r="E403" s="35"/>
      <c r="F403" s="35"/>
      <c r="G403" s="35"/>
      <c r="H403" s="35"/>
      <c r="I403" s="35"/>
    </row>
    <row r="404" spans="1:9" ht="14.5">
      <c r="A404" s="35"/>
      <c r="B404" s="35"/>
      <c r="C404" s="69"/>
      <c r="D404" s="35"/>
      <c r="E404" s="35"/>
      <c r="F404" s="35"/>
      <c r="G404" s="35"/>
      <c r="H404" s="35"/>
      <c r="I404" s="35"/>
    </row>
    <row r="405" spans="1:9" ht="14.5">
      <c r="A405" s="35"/>
      <c r="B405" s="35"/>
      <c r="C405" s="69"/>
      <c r="D405" s="35"/>
      <c r="E405" s="35"/>
      <c r="F405" s="35"/>
      <c r="G405" s="35"/>
      <c r="H405" s="35"/>
      <c r="I405" s="35"/>
    </row>
    <row r="406" spans="1:9" ht="14.5">
      <c r="A406" s="35"/>
      <c r="B406" s="35"/>
      <c r="C406" s="69"/>
      <c r="D406" s="35"/>
      <c r="E406" s="35"/>
      <c r="F406" s="35"/>
      <c r="G406" s="35"/>
      <c r="H406" s="35"/>
      <c r="I406" s="35"/>
    </row>
    <row r="407" spans="1:9" ht="14.5">
      <c r="A407" s="35"/>
      <c r="B407" s="35"/>
      <c r="C407" s="69"/>
      <c r="D407" s="35"/>
      <c r="E407" s="35"/>
      <c r="F407" s="35"/>
      <c r="G407" s="35"/>
      <c r="H407" s="35"/>
      <c r="I407" s="35"/>
    </row>
    <row r="408" spans="1:9" ht="14.5">
      <c r="A408" s="35"/>
      <c r="B408" s="35"/>
      <c r="C408" s="69"/>
      <c r="D408" s="35"/>
      <c r="E408" s="35"/>
      <c r="F408" s="35"/>
      <c r="G408" s="35"/>
      <c r="H408" s="35"/>
      <c r="I408" s="35"/>
    </row>
    <row r="409" spans="1:9" ht="14.5">
      <c r="A409" s="35"/>
      <c r="B409" s="35"/>
      <c r="C409" s="69"/>
      <c r="D409" s="35"/>
      <c r="E409" s="35"/>
      <c r="F409" s="35"/>
      <c r="G409" s="35"/>
      <c r="H409" s="35"/>
      <c r="I409" s="35"/>
    </row>
    <row r="410" spans="1:9" ht="14.5">
      <c r="A410" s="35"/>
      <c r="B410" s="35"/>
      <c r="C410" s="69"/>
      <c r="D410" s="35"/>
      <c r="E410" s="35"/>
      <c r="F410" s="35"/>
      <c r="G410" s="35"/>
      <c r="H410" s="35"/>
      <c r="I410" s="35"/>
    </row>
    <row r="411" spans="1:9" ht="14.5">
      <c r="A411" s="35"/>
      <c r="B411" s="35"/>
      <c r="C411" s="69"/>
      <c r="D411" s="35"/>
      <c r="E411" s="35"/>
      <c r="F411" s="35"/>
      <c r="G411" s="35"/>
      <c r="H411" s="35"/>
      <c r="I411" s="35"/>
    </row>
    <row r="412" spans="1:9" ht="14.5">
      <c r="A412" s="35"/>
      <c r="B412" s="35"/>
      <c r="C412" s="69"/>
      <c r="D412" s="35"/>
      <c r="E412" s="35"/>
      <c r="F412" s="35"/>
      <c r="G412" s="35"/>
      <c r="H412" s="35"/>
      <c r="I412" s="35"/>
    </row>
    <row r="413" spans="1:9" ht="14.5">
      <c r="A413" s="35"/>
      <c r="B413" s="35"/>
      <c r="C413" s="69"/>
      <c r="D413" s="35"/>
      <c r="E413" s="35"/>
      <c r="F413" s="35"/>
      <c r="G413" s="35"/>
      <c r="H413" s="35"/>
      <c r="I413" s="35"/>
    </row>
    <row r="414" spans="1:9" ht="14.5">
      <c r="A414" s="35"/>
      <c r="B414" s="35"/>
      <c r="C414" s="69"/>
      <c r="D414" s="35"/>
      <c r="E414" s="35"/>
      <c r="F414" s="35"/>
      <c r="G414" s="35"/>
      <c r="H414" s="35"/>
      <c r="I414" s="35"/>
    </row>
    <row r="415" spans="1:9" ht="14.5">
      <c r="A415" s="35"/>
      <c r="B415" s="35"/>
      <c r="C415" s="69"/>
      <c r="D415" s="35"/>
      <c r="E415" s="35"/>
      <c r="F415" s="35"/>
      <c r="G415" s="35"/>
      <c r="H415" s="35"/>
      <c r="I415" s="35"/>
    </row>
    <row r="416" spans="1:9" ht="14.5">
      <c r="A416" s="35"/>
      <c r="B416" s="35"/>
      <c r="C416" s="69"/>
      <c r="D416" s="35"/>
      <c r="E416" s="35"/>
      <c r="F416" s="35"/>
      <c r="G416" s="35"/>
      <c r="H416" s="35"/>
      <c r="I416" s="35"/>
    </row>
    <row r="417" spans="1:9" ht="14.5">
      <c r="A417" s="35"/>
      <c r="B417" s="35"/>
      <c r="C417" s="69"/>
      <c r="D417" s="35"/>
      <c r="E417" s="35"/>
      <c r="F417" s="35"/>
      <c r="G417" s="35"/>
      <c r="H417" s="35"/>
      <c r="I417" s="35"/>
    </row>
    <row r="418" spans="1:9" ht="14.5">
      <c r="A418" s="35"/>
      <c r="B418" s="35"/>
      <c r="C418" s="69"/>
      <c r="D418" s="35"/>
      <c r="E418" s="35"/>
      <c r="F418" s="35"/>
      <c r="G418" s="35"/>
      <c r="H418" s="35"/>
      <c r="I418" s="35"/>
    </row>
    <row r="419" spans="1:9" ht="14.5">
      <c r="A419" s="35"/>
      <c r="B419" s="35"/>
      <c r="C419" s="69"/>
      <c r="D419" s="35"/>
      <c r="E419" s="35"/>
      <c r="F419" s="35"/>
      <c r="G419" s="35"/>
      <c r="H419" s="35"/>
      <c r="I419" s="35"/>
    </row>
    <row r="420" spans="1:9" ht="14.5">
      <c r="A420" s="35"/>
      <c r="B420" s="35"/>
      <c r="C420" s="69"/>
      <c r="D420" s="35"/>
      <c r="E420" s="35"/>
      <c r="F420" s="35"/>
      <c r="G420" s="35"/>
      <c r="H420" s="35"/>
      <c r="I420" s="35"/>
    </row>
    <row r="421" spans="1:9" ht="14.5">
      <c r="A421" s="35"/>
      <c r="B421" s="35"/>
      <c r="C421" s="69"/>
      <c r="D421" s="35"/>
      <c r="E421" s="35"/>
      <c r="F421" s="35"/>
      <c r="G421" s="35"/>
      <c r="H421" s="35"/>
      <c r="I421" s="35"/>
    </row>
    <row r="422" spans="1:9" ht="14.5">
      <c r="A422" s="35"/>
      <c r="B422" s="35"/>
      <c r="C422" s="69"/>
      <c r="D422" s="35"/>
      <c r="E422" s="35"/>
      <c r="F422" s="35"/>
      <c r="G422" s="35"/>
      <c r="H422" s="35"/>
      <c r="I422" s="35"/>
    </row>
    <row r="423" spans="1:9" ht="14.5">
      <c r="A423" s="35"/>
      <c r="B423" s="35"/>
      <c r="C423" s="69"/>
      <c r="D423" s="35"/>
      <c r="E423" s="35"/>
      <c r="F423" s="35"/>
      <c r="G423" s="35"/>
      <c r="H423" s="35"/>
      <c r="I423" s="35"/>
    </row>
    <row r="424" spans="1:9" ht="14.5">
      <c r="A424" s="35"/>
      <c r="B424" s="35"/>
      <c r="C424" s="69"/>
      <c r="D424" s="35"/>
      <c r="E424" s="35"/>
      <c r="F424" s="35"/>
      <c r="G424" s="35"/>
      <c r="H424" s="35"/>
      <c r="I424" s="35"/>
    </row>
    <row r="425" spans="1:9" ht="14.5">
      <c r="A425" s="35"/>
      <c r="B425" s="35"/>
      <c r="C425" s="69"/>
      <c r="D425" s="35"/>
      <c r="E425" s="35"/>
      <c r="F425" s="35"/>
      <c r="G425" s="35"/>
      <c r="H425" s="35"/>
      <c r="I425" s="35"/>
    </row>
    <row r="426" spans="1:9" ht="14.5">
      <c r="A426" s="35"/>
      <c r="B426" s="35"/>
      <c r="C426" s="69"/>
      <c r="D426" s="35"/>
      <c r="E426" s="35"/>
      <c r="F426" s="35"/>
      <c r="G426" s="35"/>
      <c r="H426" s="35"/>
      <c r="I426" s="35"/>
    </row>
    <row r="427" spans="1:9" ht="14.5">
      <c r="A427" s="35"/>
      <c r="B427" s="35"/>
      <c r="C427" s="69"/>
      <c r="D427" s="35"/>
      <c r="E427" s="35"/>
      <c r="F427" s="35"/>
      <c r="G427" s="35"/>
      <c r="H427" s="35"/>
      <c r="I427" s="35"/>
    </row>
    <row r="428" spans="1:9" ht="14.5">
      <c r="A428" s="35"/>
      <c r="B428" s="35"/>
      <c r="C428" s="69"/>
      <c r="D428" s="35"/>
      <c r="E428" s="35"/>
      <c r="F428" s="35"/>
      <c r="G428" s="35"/>
      <c r="H428" s="35"/>
      <c r="I428" s="35"/>
    </row>
    <row r="429" spans="1:9" ht="14.5">
      <c r="A429" s="35"/>
      <c r="B429" s="35"/>
      <c r="C429" s="69"/>
      <c r="D429" s="35"/>
      <c r="E429" s="35"/>
      <c r="F429" s="35"/>
      <c r="G429" s="35"/>
      <c r="H429" s="35"/>
      <c r="I429" s="35"/>
    </row>
    <row r="430" spans="1:9" ht="14.5">
      <c r="A430" s="35"/>
      <c r="B430" s="35"/>
      <c r="C430" s="69"/>
      <c r="D430" s="35"/>
      <c r="E430" s="35"/>
      <c r="F430" s="35"/>
      <c r="G430" s="35"/>
      <c r="H430" s="35"/>
      <c r="I430" s="35"/>
    </row>
    <row r="431" spans="1:9" ht="14.5">
      <c r="A431" s="35"/>
      <c r="B431" s="35"/>
      <c r="C431" s="69"/>
      <c r="D431" s="35"/>
      <c r="E431" s="35"/>
      <c r="F431" s="35"/>
      <c r="G431" s="35"/>
      <c r="H431" s="35"/>
      <c r="I431" s="35"/>
    </row>
    <row r="432" spans="1:9" ht="14.5">
      <c r="A432" s="35"/>
      <c r="B432" s="35"/>
      <c r="C432" s="69"/>
      <c r="D432" s="35"/>
      <c r="E432" s="35"/>
      <c r="F432" s="35"/>
      <c r="G432" s="35"/>
      <c r="H432" s="35"/>
      <c r="I432" s="35"/>
    </row>
    <row r="433" spans="1:9" ht="14.5">
      <c r="A433" s="35"/>
      <c r="B433" s="35"/>
      <c r="C433" s="69"/>
      <c r="D433" s="35"/>
      <c r="E433" s="35"/>
      <c r="F433" s="35"/>
      <c r="G433" s="35"/>
      <c r="H433" s="35"/>
      <c r="I433" s="35"/>
    </row>
    <row r="434" spans="1:9" ht="14.5">
      <c r="A434" s="35"/>
      <c r="B434" s="35"/>
      <c r="C434" s="69"/>
      <c r="D434" s="35"/>
      <c r="E434" s="35"/>
      <c r="F434" s="35"/>
      <c r="G434" s="35"/>
      <c r="H434" s="35"/>
      <c r="I434" s="35"/>
    </row>
    <row r="435" spans="1:9" ht="14.5">
      <c r="A435" s="35"/>
      <c r="B435" s="35"/>
      <c r="C435" s="69"/>
      <c r="D435" s="35"/>
      <c r="E435" s="35"/>
      <c r="F435" s="35"/>
      <c r="G435" s="35"/>
      <c r="H435" s="35"/>
      <c r="I435" s="35"/>
    </row>
    <row r="436" spans="1:9" ht="14.5">
      <c r="A436" s="35"/>
      <c r="B436" s="35"/>
      <c r="C436" s="69"/>
      <c r="D436" s="35"/>
      <c r="E436" s="35"/>
      <c r="F436" s="35"/>
      <c r="G436" s="35"/>
      <c r="H436" s="35"/>
      <c r="I436" s="35"/>
    </row>
    <row r="437" spans="1:9" ht="14.5">
      <c r="A437" s="35"/>
      <c r="B437" s="35"/>
      <c r="C437" s="69"/>
      <c r="D437" s="35"/>
      <c r="E437" s="35"/>
      <c r="F437" s="35"/>
      <c r="G437" s="35"/>
      <c r="H437" s="35"/>
      <c r="I437" s="35"/>
    </row>
    <row r="438" spans="1:9" ht="14.5">
      <c r="A438" s="35"/>
      <c r="B438" s="35"/>
      <c r="C438" s="69"/>
      <c r="D438" s="35"/>
      <c r="E438" s="35"/>
      <c r="F438" s="35"/>
      <c r="G438" s="35"/>
      <c r="H438" s="35"/>
      <c r="I438" s="35"/>
    </row>
    <row r="439" spans="1:9" ht="14.5">
      <c r="A439" s="35"/>
      <c r="B439" s="35"/>
      <c r="C439" s="69"/>
      <c r="D439" s="35"/>
      <c r="E439" s="35"/>
      <c r="F439" s="35"/>
      <c r="G439" s="35"/>
      <c r="H439" s="35"/>
      <c r="I439" s="35"/>
    </row>
    <row r="440" spans="1:9" ht="14.5">
      <c r="A440" s="35"/>
      <c r="B440" s="35"/>
      <c r="C440" s="69"/>
      <c r="D440" s="35"/>
      <c r="E440" s="35"/>
      <c r="F440" s="35"/>
      <c r="G440" s="35"/>
      <c r="H440" s="35"/>
      <c r="I440" s="35"/>
    </row>
    <row r="441" spans="1:9" ht="14.5">
      <c r="A441" s="35"/>
      <c r="B441" s="35"/>
      <c r="C441" s="69"/>
      <c r="D441" s="35"/>
      <c r="E441" s="35"/>
      <c r="F441" s="35"/>
      <c r="G441" s="35"/>
      <c r="H441" s="35"/>
      <c r="I441" s="35"/>
    </row>
    <row r="442" spans="1:9" ht="14.5">
      <c r="A442" s="35"/>
      <c r="B442" s="35"/>
      <c r="C442" s="69"/>
      <c r="D442" s="35"/>
      <c r="E442" s="35"/>
      <c r="F442" s="35"/>
      <c r="G442" s="35"/>
      <c r="H442" s="35"/>
      <c r="I442" s="35"/>
    </row>
    <row r="443" spans="1:9" ht="14.5">
      <c r="A443" s="35"/>
      <c r="B443" s="35"/>
      <c r="C443" s="69"/>
      <c r="D443" s="35"/>
      <c r="E443" s="35"/>
      <c r="F443" s="35"/>
      <c r="G443" s="35"/>
      <c r="H443" s="35"/>
      <c r="I443" s="35"/>
    </row>
    <row r="444" spans="1:9" ht="14.5">
      <c r="A444" s="35"/>
      <c r="B444" s="35"/>
      <c r="C444" s="69"/>
      <c r="D444" s="35"/>
      <c r="E444" s="35"/>
      <c r="F444" s="35"/>
      <c r="G444" s="35"/>
      <c r="H444" s="35"/>
      <c r="I444" s="35"/>
    </row>
    <row r="445" spans="1:9" ht="14.5">
      <c r="A445" s="35"/>
      <c r="B445" s="35"/>
      <c r="C445" s="69"/>
      <c r="D445" s="35"/>
      <c r="E445" s="35"/>
      <c r="F445" s="35"/>
      <c r="G445" s="35"/>
      <c r="H445" s="35"/>
      <c r="I445" s="35"/>
    </row>
    <row r="446" spans="1:9" ht="14.5">
      <c r="A446" s="35"/>
      <c r="B446" s="35"/>
      <c r="C446" s="69"/>
      <c r="D446" s="35"/>
      <c r="E446" s="35"/>
      <c r="F446" s="35"/>
      <c r="G446" s="35"/>
      <c r="H446" s="35"/>
      <c r="I446" s="35"/>
    </row>
    <row r="447" spans="1:9" ht="14.5">
      <c r="A447" s="35"/>
      <c r="B447" s="35"/>
      <c r="C447" s="69"/>
      <c r="D447" s="35"/>
      <c r="E447" s="35"/>
      <c r="F447" s="35"/>
      <c r="G447" s="35"/>
      <c r="H447" s="35"/>
      <c r="I447" s="35"/>
    </row>
    <row r="448" spans="1:9" ht="14.5">
      <c r="A448" s="35"/>
      <c r="B448" s="35"/>
      <c r="C448" s="69"/>
      <c r="D448" s="35"/>
      <c r="E448" s="35"/>
      <c r="F448" s="35"/>
      <c r="G448" s="35"/>
      <c r="H448" s="35"/>
      <c r="I448" s="35"/>
    </row>
    <row r="449" spans="1:9" ht="14.5">
      <c r="A449" s="35"/>
      <c r="B449" s="35"/>
      <c r="C449" s="69"/>
      <c r="D449" s="35"/>
      <c r="E449" s="35"/>
      <c r="F449" s="35"/>
      <c r="G449" s="35"/>
      <c r="H449" s="35"/>
      <c r="I449" s="35"/>
    </row>
    <row r="450" spans="1:9" ht="14.5">
      <c r="A450" s="35"/>
      <c r="B450" s="35"/>
      <c r="C450" s="69"/>
      <c r="D450" s="35"/>
      <c r="E450" s="35"/>
      <c r="F450" s="35"/>
      <c r="G450" s="35"/>
      <c r="H450" s="35"/>
      <c r="I450" s="35"/>
    </row>
    <row r="451" spans="1:9" ht="14.5">
      <c r="A451" s="35"/>
      <c r="B451" s="35"/>
      <c r="C451" s="69"/>
      <c r="D451" s="35"/>
      <c r="E451" s="35"/>
      <c r="F451" s="35"/>
      <c r="G451" s="35"/>
      <c r="H451" s="35"/>
      <c r="I451" s="35"/>
    </row>
    <row r="452" spans="1:9" ht="14.5">
      <c r="A452" s="35"/>
      <c r="B452" s="35"/>
      <c r="C452" s="69"/>
      <c r="D452" s="35"/>
      <c r="E452" s="35"/>
      <c r="F452" s="35"/>
      <c r="G452" s="35"/>
      <c r="H452" s="35"/>
      <c r="I452" s="35"/>
    </row>
    <row r="453" spans="1:9" ht="14.5">
      <c r="A453" s="35"/>
      <c r="B453" s="35"/>
      <c r="C453" s="69"/>
      <c r="D453" s="35"/>
      <c r="E453" s="35"/>
      <c r="F453" s="35"/>
      <c r="G453" s="35"/>
      <c r="H453" s="35"/>
      <c r="I453" s="35"/>
    </row>
    <row r="454" spans="1:9" ht="14.5">
      <c r="A454" s="35"/>
      <c r="B454" s="35"/>
      <c r="C454" s="69"/>
      <c r="D454" s="35"/>
      <c r="E454" s="35"/>
      <c r="F454" s="35"/>
      <c r="G454" s="35"/>
      <c r="H454" s="35"/>
      <c r="I454" s="35"/>
    </row>
    <row r="455" spans="1:9" ht="14.5">
      <c r="A455" s="35"/>
      <c r="B455" s="35"/>
      <c r="C455" s="69"/>
      <c r="D455" s="35"/>
      <c r="E455" s="35"/>
      <c r="F455" s="35"/>
      <c r="G455" s="35"/>
      <c r="H455" s="35"/>
      <c r="I455" s="35"/>
    </row>
    <row r="456" spans="1:9" ht="14.5">
      <c r="A456" s="35"/>
      <c r="B456" s="35"/>
      <c r="C456" s="69"/>
      <c r="D456" s="35"/>
      <c r="E456" s="35"/>
      <c r="F456" s="35"/>
      <c r="G456" s="35"/>
      <c r="H456" s="35"/>
      <c r="I456" s="35"/>
    </row>
    <row r="457" spans="1:9" ht="14.5">
      <c r="A457" s="35"/>
      <c r="B457" s="35"/>
      <c r="C457" s="69"/>
      <c r="D457" s="35"/>
      <c r="E457" s="35"/>
      <c r="F457" s="35"/>
      <c r="G457" s="35"/>
      <c r="H457" s="35"/>
      <c r="I457" s="35"/>
    </row>
    <row r="458" spans="1:9" ht="14.5">
      <c r="A458" s="35"/>
      <c r="B458" s="35"/>
      <c r="C458" s="69"/>
      <c r="D458" s="35"/>
      <c r="E458" s="35"/>
      <c r="F458" s="35"/>
      <c r="G458" s="35"/>
      <c r="H458" s="35"/>
      <c r="I458" s="35"/>
    </row>
    <row r="459" spans="1:9" ht="14.5">
      <c r="A459" s="35"/>
      <c r="B459" s="35"/>
      <c r="C459" s="69"/>
      <c r="D459" s="35"/>
      <c r="E459" s="35"/>
      <c r="F459" s="35"/>
      <c r="G459" s="35"/>
      <c r="H459" s="35"/>
      <c r="I459" s="35"/>
    </row>
    <row r="460" spans="1:9" ht="14.5">
      <c r="A460" s="35"/>
      <c r="B460" s="35"/>
      <c r="C460" s="69"/>
      <c r="D460" s="35"/>
      <c r="E460" s="35"/>
      <c r="F460" s="35"/>
      <c r="G460" s="35"/>
      <c r="H460" s="35"/>
      <c r="I460" s="35"/>
    </row>
    <row r="461" spans="1:9" ht="14.5">
      <c r="A461" s="35"/>
      <c r="B461" s="35"/>
      <c r="C461" s="69"/>
      <c r="D461" s="35"/>
      <c r="E461" s="35"/>
      <c r="F461" s="35"/>
      <c r="G461" s="35"/>
      <c r="H461" s="35"/>
      <c r="I461" s="35"/>
    </row>
    <row r="462" spans="1:9" ht="14.5">
      <c r="A462" s="35"/>
      <c r="B462" s="35"/>
      <c r="C462" s="69"/>
      <c r="D462" s="35"/>
      <c r="E462" s="35"/>
      <c r="F462" s="35"/>
      <c r="G462" s="35"/>
      <c r="H462" s="35"/>
      <c r="I462" s="35"/>
    </row>
    <row r="463" spans="1:9" ht="14.5">
      <c r="A463" s="35"/>
      <c r="B463" s="35"/>
      <c r="C463" s="69"/>
      <c r="D463" s="35"/>
      <c r="E463" s="35"/>
      <c r="F463" s="35"/>
      <c r="G463" s="35"/>
      <c r="H463" s="35"/>
      <c r="I463" s="35"/>
    </row>
    <row r="464" spans="1:9" ht="14.5">
      <c r="A464" s="35"/>
      <c r="B464" s="35"/>
      <c r="C464" s="69"/>
      <c r="D464" s="35"/>
      <c r="E464" s="35"/>
      <c r="F464" s="35"/>
      <c r="G464" s="35"/>
      <c r="H464" s="35"/>
      <c r="I464" s="35"/>
    </row>
    <row r="465" spans="1:9" ht="14.5">
      <c r="A465" s="35"/>
      <c r="B465" s="35"/>
      <c r="C465" s="69"/>
      <c r="D465" s="35"/>
      <c r="E465" s="35"/>
      <c r="F465" s="35"/>
      <c r="G465" s="35"/>
      <c r="H465" s="35"/>
      <c r="I465" s="35"/>
    </row>
    <row r="466" spans="1:9" ht="14.5">
      <c r="A466" s="35"/>
      <c r="B466" s="35"/>
      <c r="C466" s="69"/>
      <c r="D466" s="35"/>
      <c r="E466" s="35"/>
      <c r="F466" s="35"/>
      <c r="G466" s="35"/>
      <c r="H466" s="35"/>
      <c r="I466" s="35"/>
    </row>
    <row r="467" spans="1:9" ht="14.5">
      <c r="A467" s="35"/>
      <c r="B467" s="35"/>
      <c r="C467" s="69"/>
      <c r="D467" s="35"/>
      <c r="E467" s="35"/>
      <c r="F467" s="35"/>
      <c r="G467" s="35"/>
      <c r="H467" s="35"/>
      <c r="I467" s="35"/>
    </row>
    <row r="468" spans="1:9" ht="14.5">
      <c r="A468" s="35"/>
      <c r="B468" s="35"/>
      <c r="C468" s="69"/>
      <c r="D468" s="35"/>
      <c r="E468" s="35"/>
      <c r="F468" s="35"/>
      <c r="G468" s="35"/>
      <c r="H468" s="35"/>
      <c r="I468" s="35"/>
    </row>
    <row r="469" spans="1:9" ht="14.5">
      <c r="A469" s="35"/>
      <c r="B469" s="35"/>
      <c r="C469" s="69"/>
      <c r="D469" s="35"/>
      <c r="E469" s="35"/>
      <c r="F469" s="35"/>
      <c r="G469" s="35"/>
      <c r="H469" s="35"/>
      <c r="I469" s="35"/>
    </row>
    <row r="470" spans="1:9" ht="14.5">
      <c r="A470" s="35"/>
      <c r="B470" s="35"/>
      <c r="C470" s="69"/>
      <c r="D470" s="35"/>
      <c r="E470" s="35"/>
      <c r="F470" s="35"/>
      <c r="G470" s="35"/>
      <c r="H470" s="35"/>
      <c r="I470" s="35"/>
    </row>
    <row r="471" spans="1:9" ht="14.5">
      <c r="A471" s="35"/>
      <c r="B471" s="35"/>
      <c r="C471" s="69"/>
      <c r="D471" s="35"/>
      <c r="E471" s="35"/>
      <c r="F471" s="35"/>
      <c r="G471" s="35"/>
      <c r="H471" s="35"/>
      <c r="I471" s="35"/>
    </row>
    <row r="472" spans="1:9" ht="14.5">
      <c r="A472" s="35"/>
      <c r="B472" s="35"/>
      <c r="C472" s="69"/>
      <c r="D472" s="35"/>
      <c r="E472" s="35"/>
      <c r="F472" s="35"/>
      <c r="G472" s="35"/>
      <c r="H472" s="35"/>
      <c r="I472" s="35"/>
    </row>
    <row r="473" spans="1:9" ht="14.5">
      <c r="A473" s="35"/>
      <c r="B473" s="35"/>
      <c r="C473" s="69"/>
      <c r="D473" s="35"/>
      <c r="E473" s="35"/>
      <c r="F473" s="35"/>
      <c r="G473" s="35"/>
      <c r="H473" s="35"/>
      <c r="I473" s="35"/>
    </row>
    <row r="474" spans="1:9" ht="14.5">
      <c r="A474" s="35"/>
      <c r="B474" s="35"/>
      <c r="C474" s="69"/>
      <c r="D474" s="35"/>
      <c r="E474" s="35"/>
      <c r="F474" s="35"/>
      <c r="G474" s="35"/>
      <c r="H474" s="35"/>
      <c r="I474" s="35"/>
    </row>
    <row r="475" spans="1:9" ht="14.5">
      <c r="A475" s="35"/>
      <c r="B475" s="35"/>
      <c r="C475" s="69"/>
      <c r="D475" s="35"/>
      <c r="E475" s="35"/>
      <c r="F475" s="35"/>
      <c r="G475" s="35"/>
      <c r="H475" s="35"/>
      <c r="I475" s="35"/>
    </row>
    <row r="476" spans="1:9" ht="14.5">
      <c r="A476" s="35"/>
      <c r="B476" s="35"/>
      <c r="C476" s="69"/>
      <c r="D476" s="35"/>
      <c r="E476" s="35"/>
      <c r="F476" s="35"/>
      <c r="G476" s="35"/>
      <c r="H476" s="35"/>
      <c r="I476" s="35"/>
    </row>
    <row r="477" spans="1:9" ht="14.5">
      <c r="A477" s="35"/>
      <c r="B477" s="35"/>
      <c r="C477" s="69"/>
      <c r="D477" s="35"/>
      <c r="E477" s="35"/>
      <c r="F477" s="35"/>
      <c r="G477" s="35"/>
      <c r="H477" s="35"/>
      <c r="I477" s="35"/>
    </row>
    <row r="478" spans="1:9" ht="14.5">
      <c r="A478" s="35"/>
      <c r="B478" s="35"/>
      <c r="C478" s="69"/>
      <c r="D478" s="35"/>
      <c r="E478" s="35"/>
      <c r="F478" s="35"/>
      <c r="G478" s="35"/>
      <c r="H478" s="35"/>
      <c r="I478" s="35"/>
    </row>
    <row r="479" spans="1:9" ht="14.5">
      <c r="A479" s="35"/>
      <c r="B479" s="35"/>
      <c r="C479" s="69"/>
      <c r="D479" s="35"/>
      <c r="E479" s="35"/>
      <c r="F479" s="35"/>
      <c r="G479" s="35"/>
      <c r="H479" s="35"/>
      <c r="I479" s="35"/>
    </row>
    <row r="480" spans="1:9" ht="14.5">
      <c r="A480" s="35"/>
      <c r="B480" s="35"/>
      <c r="C480" s="69"/>
      <c r="D480" s="35"/>
      <c r="E480" s="35"/>
      <c r="F480" s="35"/>
      <c r="G480" s="35"/>
      <c r="H480" s="35"/>
      <c r="I480" s="35"/>
    </row>
    <row r="481" spans="1:9" ht="14.5">
      <c r="A481" s="35"/>
      <c r="B481" s="35"/>
      <c r="C481" s="69"/>
      <c r="D481" s="35"/>
      <c r="E481" s="35"/>
      <c r="F481" s="35"/>
      <c r="G481" s="35"/>
      <c r="H481" s="35"/>
      <c r="I481" s="35"/>
    </row>
    <row r="482" spans="1:9" ht="14.5">
      <c r="A482" s="35"/>
      <c r="B482" s="35"/>
      <c r="C482" s="69"/>
      <c r="D482" s="35"/>
      <c r="E482" s="35"/>
      <c r="F482" s="35"/>
      <c r="G482" s="35"/>
      <c r="H482" s="35"/>
      <c r="I482" s="35"/>
    </row>
    <row r="483" spans="1:9" ht="14.5">
      <c r="A483" s="35"/>
      <c r="B483" s="35"/>
      <c r="C483" s="69"/>
      <c r="D483" s="35"/>
      <c r="E483" s="35"/>
      <c r="F483" s="35"/>
      <c r="G483" s="35"/>
      <c r="H483" s="35"/>
      <c r="I483" s="35"/>
    </row>
    <row r="484" spans="1:9" ht="14.5">
      <c r="A484" s="35"/>
      <c r="B484" s="35"/>
      <c r="C484" s="69"/>
      <c r="D484" s="35"/>
      <c r="E484" s="35"/>
      <c r="F484" s="35"/>
      <c r="G484" s="35"/>
      <c r="H484" s="35"/>
      <c r="I484" s="35"/>
    </row>
    <row r="485" spans="1:9" ht="14.5">
      <c r="A485" s="35"/>
      <c r="B485" s="35"/>
      <c r="C485" s="69"/>
      <c r="D485" s="35"/>
      <c r="E485" s="35"/>
      <c r="F485" s="35"/>
      <c r="G485" s="35"/>
      <c r="H485" s="35"/>
      <c r="I485" s="35"/>
    </row>
    <row r="486" spans="1:9" ht="14.5">
      <c r="A486" s="35"/>
      <c r="B486" s="35"/>
      <c r="C486" s="69"/>
      <c r="D486" s="35"/>
      <c r="E486" s="35"/>
      <c r="F486" s="35"/>
      <c r="G486" s="35"/>
      <c r="H486" s="35"/>
      <c r="I486" s="35"/>
    </row>
    <row r="487" spans="1:9" ht="14.5">
      <c r="A487" s="35"/>
      <c r="B487" s="35"/>
      <c r="C487" s="69"/>
      <c r="D487" s="35"/>
      <c r="E487" s="35"/>
      <c r="F487" s="35"/>
      <c r="G487" s="35"/>
      <c r="H487" s="35"/>
      <c r="I487" s="35"/>
    </row>
    <row r="488" spans="1:9" ht="14.5">
      <c r="A488" s="35"/>
      <c r="B488" s="35"/>
      <c r="C488" s="69"/>
      <c r="D488" s="35"/>
      <c r="E488" s="35"/>
      <c r="F488" s="35"/>
      <c r="G488" s="35"/>
      <c r="H488" s="35"/>
      <c r="I488" s="35"/>
    </row>
    <row r="489" spans="1:9" ht="14.5">
      <c r="A489" s="35"/>
      <c r="B489" s="35"/>
      <c r="C489" s="69"/>
      <c r="D489" s="35"/>
      <c r="E489" s="35"/>
      <c r="F489" s="35"/>
      <c r="G489" s="35"/>
      <c r="H489" s="35"/>
      <c r="I489" s="35"/>
    </row>
    <row r="490" spans="1:9" ht="14.5">
      <c r="A490" s="35"/>
      <c r="B490" s="35"/>
      <c r="C490" s="69"/>
      <c r="D490" s="35"/>
      <c r="E490" s="35"/>
      <c r="F490" s="35"/>
      <c r="G490" s="35"/>
      <c r="H490" s="35"/>
      <c r="I490" s="35"/>
    </row>
    <row r="491" spans="1:9" ht="14.5">
      <c r="A491" s="35"/>
      <c r="B491" s="35"/>
      <c r="C491" s="69"/>
      <c r="D491" s="35"/>
      <c r="E491" s="35"/>
      <c r="F491" s="35"/>
      <c r="G491" s="35"/>
      <c r="H491" s="35"/>
      <c r="I491" s="35"/>
    </row>
    <row r="492" spans="1:9" ht="14.5">
      <c r="A492" s="35"/>
      <c r="B492" s="35"/>
      <c r="C492" s="69"/>
      <c r="D492" s="35"/>
      <c r="E492" s="35"/>
      <c r="F492" s="35"/>
      <c r="G492" s="35"/>
      <c r="H492" s="35"/>
      <c r="I492" s="35"/>
    </row>
    <row r="493" spans="1:9" ht="14.5">
      <c r="A493" s="35"/>
      <c r="B493" s="35"/>
      <c r="C493" s="69"/>
      <c r="D493" s="35"/>
      <c r="E493" s="35"/>
      <c r="F493" s="35"/>
      <c r="G493" s="35"/>
      <c r="H493" s="35"/>
      <c r="I493" s="35"/>
    </row>
    <row r="494" spans="1:9" ht="14.5">
      <c r="A494" s="35"/>
      <c r="B494" s="35"/>
      <c r="C494" s="69"/>
      <c r="D494" s="35"/>
      <c r="E494" s="35"/>
      <c r="F494" s="35"/>
      <c r="G494" s="35"/>
      <c r="H494" s="35"/>
      <c r="I494" s="35"/>
    </row>
    <row r="495" spans="1:9" ht="14.5">
      <c r="A495" s="35"/>
      <c r="B495" s="35"/>
      <c r="C495" s="69"/>
      <c r="D495" s="35"/>
      <c r="E495" s="35"/>
      <c r="F495" s="35"/>
      <c r="G495" s="35"/>
      <c r="H495" s="35"/>
      <c r="I495" s="35"/>
    </row>
    <row r="496" spans="1:9" ht="14.5">
      <c r="A496" s="35"/>
      <c r="B496" s="35"/>
      <c r="C496" s="69"/>
      <c r="D496" s="35"/>
      <c r="E496" s="35"/>
      <c r="F496" s="35"/>
      <c r="G496" s="35"/>
      <c r="H496" s="35"/>
      <c r="I496" s="35"/>
    </row>
    <row r="497" spans="1:9" ht="14.5">
      <c r="A497" s="35"/>
      <c r="B497" s="35"/>
      <c r="C497" s="69"/>
      <c r="D497" s="35"/>
      <c r="E497" s="35"/>
      <c r="F497" s="35"/>
      <c r="G497" s="35"/>
      <c r="H497" s="35"/>
      <c r="I497" s="35"/>
    </row>
    <row r="498" spans="1:9" ht="14.5">
      <c r="A498" s="35"/>
      <c r="B498" s="35"/>
      <c r="C498" s="69"/>
      <c r="D498" s="35"/>
      <c r="E498" s="35"/>
      <c r="F498" s="35"/>
      <c r="G498" s="35"/>
      <c r="H498" s="35"/>
      <c r="I498" s="35"/>
    </row>
    <row r="499" spans="1:9" ht="14.5">
      <c r="A499" s="35"/>
      <c r="B499" s="35"/>
      <c r="C499" s="69"/>
      <c r="D499" s="35"/>
      <c r="E499" s="35"/>
      <c r="F499" s="35"/>
      <c r="G499" s="35"/>
      <c r="H499" s="35"/>
      <c r="I499" s="35"/>
    </row>
    <row r="500" spans="1:9" ht="14.5">
      <c r="A500" s="35"/>
      <c r="B500" s="35"/>
      <c r="C500" s="69"/>
      <c r="D500" s="35"/>
      <c r="E500" s="35"/>
      <c r="F500" s="35"/>
      <c r="G500" s="35"/>
      <c r="H500" s="35"/>
      <c r="I500" s="35"/>
    </row>
    <row r="501" spans="1:9" ht="14.5">
      <c r="A501" s="35"/>
      <c r="B501" s="35"/>
      <c r="C501" s="69"/>
      <c r="D501" s="35"/>
      <c r="E501" s="35"/>
      <c r="F501" s="35"/>
      <c r="G501" s="35"/>
      <c r="H501" s="35"/>
      <c r="I501" s="35"/>
    </row>
    <row r="502" spans="1:9" ht="14.5">
      <c r="A502" s="35"/>
      <c r="B502" s="35"/>
      <c r="C502" s="69"/>
      <c r="D502" s="35"/>
      <c r="E502" s="35"/>
      <c r="F502" s="35"/>
      <c r="G502" s="35"/>
      <c r="H502" s="35"/>
      <c r="I502" s="35"/>
    </row>
    <row r="503" spans="1:9" ht="14.5">
      <c r="A503" s="35"/>
      <c r="B503" s="35"/>
      <c r="C503" s="69"/>
      <c r="D503" s="35"/>
      <c r="E503" s="35"/>
      <c r="F503" s="35"/>
      <c r="G503" s="35"/>
      <c r="H503" s="35"/>
      <c r="I503" s="35"/>
    </row>
    <row r="504" spans="1:9" ht="14.5">
      <c r="A504" s="35"/>
      <c r="B504" s="35"/>
      <c r="C504" s="69"/>
      <c r="D504" s="35"/>
      <c r="E504" s="35"/>
      <c r="F504" s="35"/>
      <c r="G504" s="35"/>
      <c r="H504" s="35"/>
      <c r="I504" s="35"/>
    </row>
    <row r="505" spans="1:9" ht="14.5">
      <c r="A505" s="35"/>
      <c r="B505" s="35"/>
      <c r="C505" s="69"/>
      <c r="D505" s="35"/>
      <c r="E505" s="35"/>
      <c r="F505" s="35"/>
      <c r="G505" s="35"/>
      <c r="H505" s="35"/>
      <c r="I505" s="35"/>
    </row>
    <row r="506" spans="1:9" ht="14.5">
      <c r="A506" s="35"/>
      <c r="B506" s="35"/>
      <c r="C506" s="69"/>
      <c r="D506" s="35"/>
      <c r="E506" s="35"/>
      <c r="F506" s="35"/>
      <c r="G506" s="35"/>
      <c r="H506" s="35"/>
      <c r="I506" s="35"/>
    </row>
    <row r="507" spans="1:9" ht="14.5">
      <c r="A507" s="35"/>
      <c r="B507" s="35"/>
      <c r="C507" s="69"/>
      <c r="D507" s="35"/>
      <c r="E507" s="35"/>
      <c r="F507" s="35"/>
      <c r="G507" s="35"/>
      <c r="H507" s="35"/>
      <c r="I507" s="35"/>
    </row>
    <row r="508" spans="1:9" ht="14.5">
      <c r="A508" s="35"/>
      <c r="B508" s="35"/>
      <c r="C508" s="69"/>
      <c r="D508" s="35"/>
      <c r="E508" s="35"/>
      <c r="F508" s="35"/>
      <c r="G508" s="35"/>
      <c r="H508" s="35"/>
      <c r="I508" s="35"/>
    </row>
    <row r="509" spans="1:9" ht="14.5">
      <c r="A509" s="35"/>
      <c r="B509" s="35"/>
      <c r="C509" s="69"/>
      <c r="D509" s="35"/>
      <c r="E509" s="35"/>
      <c r="F509" s="35"/>
      <c r="G509" s="35"/>
      <c r="H509" s="35"/>
      <c r="I509" s="35"/>
    </row>
    <row r="510" spans="1:9" ht="14.5">
      <c r="A510" s="35"/>
      <c r="B510" s="35"/>
      <c r="C510" s="69"/>
      <c r="D510" s="35"/>
      <c r="E510" s="35"/>
      <c r="F510" s="35"/>
      <c r="G510" s="35"/>
      <c r="H510" s="35"/>
      <c r="I510" s="35"/>
    </row>
    <row r="511" spans="1:9" ht="14.5">
      <c r="A511" s="35"/>
      <c r="B511" s="35"/>
      <c r="C511" s="69"/>
      <c r="D511" s="35"/>
      <c r="E511" s="35"/>
      <c r="F511" s="35"/>
      <c r="G511" s="35"/>
      <c r="H511" s="35"/>
      <c r="I511" s="35"/>
    </row>
    <row r="512" spans="1:9" ht="14.5">
      <c r="A512" s="35"/>
      <c r="B512" s="35"/>
      <c r="C512" s="69"/>
      <c r="D512" s="35"/>
      <c r="E512" s="35"/>
      <c r="F512" s="35"/>
      <c r="G512" s="35"/>
      <c r="H512" s="35"/>
      <c r="I512" s="35"/>
    </row>
    <row r="513" spans="1:9" ht="14.5">
      <c r="A513" s="35"/>
      <c r="B513" s="35"/>
      <c r="C513" s="69"/>
      <c r="D513" s="35"/>
      <c r="E513" s="35"/>
      <c r="F513" s="35"/>
      <c r="G513" s="35"/>
      <c r="H513" s="35"/>
      <c r="I513" s="35"/>
    </row>
    <row r="514" spans="1:9" ht="14.5">
      <c r="A514" s="35"/>
      <c r="B514" s="35"/>
      <c r="C514" s="69"/>
      <c r="D514" s="35"/>
      <c r="E514" s="35"/>
      <c r="F514" s="35"/>
      <c r="G514" s="35"/>
      <c r="H514" s="35"/>
      <c r="I514" s="35"/>
    </row>
    <row r="515" spans="1:9" ht="14.5">
      <c r="A515" s="35"/>
      <c r="B515" s="35"/>
      <c r="C515" s="69"/>
      <c r="D515" s="35"/>
      <c r="E515" s="35"/>
      <c r="F515" s="35"/>
      <c r="G515" s="35"/>
      <c r="H515" s="35"/>
      <c r="I515" s="35"/>
    </row>
    <row r="516" spans="1:9" ht="14.5">
      <c r="A516" s="35"/>
      <c r="B516" s="35"/>
      <c r="C516" s="69"/>
      <c r="D516" s="35"/>
      <c r="E516" s="35"/>
      <c r="F516" s="35"/>
      <c r="G516" s="35"/>
      <c r="H516" s="35"/>
      <c r="I516" s="35"/>
    </row>
    <row r="517" spans="1:9" ht="14.5">
      <c r="A517" s="35"/>
      <c r="B517" s="35"/>
      <c r="C517" s="69"/>
      <c r="D517" s="35"/>
      <c r="E517" s="35"/>
      <c r="F517" s="35"/>
      <c r="G517" s="35"/>
      <c r="H517" s="35"/>
      <c r="I517" s="35"/>
    </row>
    <row r="518" spans="1:9" ht="14.5">
      <c r="A518" s="35"/>
      <c r="B518" s="35"/>
      <c r="C518" s="69"/>
      <c r="D518" s="35"/>
      <c r="E518" s="35"/>
      <c r="F518" s="35"/>
      <c r="G518" s="35"/>
      <c r="H518" s="35"/>
      <c r="I518" s="35"/>
    </row>
    <row r="519" spans="1:9" ht="14.5">
      <c r="A519" s="35"/>
      <c r="B519" s="35"/>
      <c r="C519" s="69"/>
      <c r="D519" s="35"/>
      <c r="E519" s="35"/>
      <c r="F519" s="35"/>
      <c r="G519" s="35"/>
      <c r="H519" s="35"/>
      <c r="I519" s="35"/>
    </row>
    <row r="520" spans="1:9" ht="14.5">
      <c r="A520" s="35"/>
      <c r="B520" s="35"/>
      <c r="C520" s="69"/>
      <c r="D520" s="35"/>
      <c r="E520" s="35"/>
      <c r="F520" s="35"/>
      <c r="G520" s="35"/>
      <c r="H520" s="35"/>
      <c r="I520" s="35"/>
    </row>
    <row r="521" spans="1:9" ht="14.5">
      <c r="A521" s="35"/>
      <c r="B521" s="35"/>
      <c r="C521" s="69"/>
      <c r="D521" s="35"/>
      <c r="E521" s="35"/>
      <c r="F521" s="35"/>
      <c r="G521" s="35"/>
      <c r="H521" s="35"/>
      <c r="I521" s="35"/>
    </row>
    <row r="522" spans="1:9" ht="14.5">
      <c r="A522" s="35"/>
      <c r="B522" s="35"/>
      <c r="C522" s="69"/>
      <c r="D522" s="35"/>
      <c r="E522" s="35"/>
      <c r="F522" s="35"/>
      <c r="G522" s="35"/>
      <c r="H522" s="35"/>
      <c r="I522" s="35"/>
    </row>
    <row r="523" spans="1:9" ht="14.5">
      <c r="A523" s="35"/>
      <c r="B523" s="35"/>
      <c r="C523" s="69"/>
      <c r="D523" s="35"/>
      <c r="E523" s="35"/>
      <c r="F523" s="35"/>
      <c r="G523" s="35"/>
      <c r="H523" s="35"/>
      <c r="I523" s="35"/>
    </row>
    <row r="524" spans="1:9" ht="14.5">
      <c r="A524" s="35"/>
      <c r="B524" s="35"/>
      <c r="C524" s="69"/>
      <c r="D524" s="35"/>
      <c r="E524" s="35"/>
      <c r="F524" s="35"/>
      <c r="G524" s="35"/>
      <c r="H524" s="35"/>
      <c r="I524" s="35"/>
    </row>
    <row r="525" spans="1:9" ht="14.5">
      <c r="A525" s="35"/>
      <c r="B525" s="35"/>
      <c r="C525" s="69"/>
      <c r="D525" s="35"/>
      <c r="E525" s="35"/>
      <c r="F525" s="35"/>
      <c r="G525" s="35"/>
      <c r="H525" s="35"/>
      <c r="I525" s="35"/>
    </row>
    <row r="526" spans="1:9" ht="14.5">
      <c r="A526" s="35"/>
      <c r="B526" s="35"/>
      <c r="C526" s="69"/>
      <c r="D526" s="35"/>
      <c r="E526" s="35"/>
      <c r="F526" s="35"/>
      <c r="G526" s="35"/>
      <c r="H526" s="35"/>
      <c r="I526" s="35"/>
    </row>
    <row r="527" spans="1:9" ht="14.5">
      <c r="A527" s="35"/>
      <c r="B527" s="35"/>
      <c r="C527" s="69"/>
      <c r="D527" s="35"/>
      <c r="E527" s="35"/>
      <c r="F527" s="35"/>
      <c r="G527" s="35"/>
      <c r="H527" s="35"/>
      <c r="I527" s="35"/>
    </row>
    <row r="528" spans="1:9" ht="14.5">
      <c r="A528" s="35"/>
      <c r="B528" s="35"/>
      <c r="C528" s="69"/>
      <c r="D528" s="35"/>
      <c r="E528" s="35"/>
      <c r="F528" s="35"/>
      <c r="G528" s="35"/>
      <c r="H528" s="35"/>
      <c r="I528" s="35"/>
    </row>
    <row r="529" spans="1:9" ht="14.5">
      <c r="A529" s="35"/>
      <c r="B529" s="35"/>
      <c r="C529" s="69"/>
      <c r="D529" s="35"/>
      <c r="E529" s="35"/>
      <c r="F529" s="35"/>
      <c r="G529" s="35"/>
      <c r="H529" s="35"/>
      <c r="I529" s="35"/>
    </row>
    <row r="530" spans="1:9" ht="14.5">
      <c r="A530" s="35"/>
      <c r="B530" s="35"/>
      <c r="C530" s="69"/>
      <c r="D530" s="35"/>
      <c r="E530" s="35"/>
      <c r="F530" s="35"/>
      <c r="G530" s="35"/>
      <c r="H530" s="35"/>
      <c r="I530" s="35"/>
    </row>
    <row r="531" spans="1:9" ht="14.5">
      <c r="A531" s="35"/>
      <c r="B531" s="35"/>
      <c r="C531" s="69"/>
      <c r="D531" s="35"/>
      <c r="E531" s="35"/>
      <c r="F531" s="35"/>
      <c r="G531" s="35"/>
      <c r="H531" s="35"/>
      <c r="I531" s="35"/>
    </row>
    <row r="532" spans="1:9" ht="14.5">
      <c r="A532" s="35"/>
      <c r="B532" s="35"/>
      <c r="C532" s="69"/>
      <c r="D532" s="35"/>
      <c r="E532" s="35"/>
      <c r="F532" s="35"/>
      <c r="G532" s="35"/>
      <c r="H532" s="35"/>
      <c r="I532" s="35"/>
    </row>
    <row r="533" spans="1:9" ht="14.5">
      <c r="A533" s="35"/>
      <c r="B533" s="35"/>
      <c r="C533" s="69"/>
      <c r="D533" s="35"/>
      <c r="E533" s="35"/>
      <c r="F533" s="35"/>
      <c r="G533" s="35"/>
      <c r="H533" s="35"/>
      <c r="I533" s="35"/>
    </row>
    <row r="534" spans="1:9" ht="14.5">
      <c r="A534" s="35"/>
      <c r="B534" s="35"/>
      <c r="C534" s="69"/>
      <c r="D534" s="35"/>
      <c r="E534" s="35"/>
      <c r="F534" s="35"/>
      <c r="G534" s="35"/>
      <c r="H534" s="35"/>
      <c r="I534" s="35"/>
    </row>
    <row r="535" spans="1:9" ht="14.5">
      <c r="A535" s="35"/>
      <c r="B535" s="35"/>
      <c r="C535" s="69"/>
      <c r="D535" s="35"/>
      <c r="E535" s="35"/>
      <c r="F535" s="35"/>
      <c r="G535" s="35"/>
      <c r="H535" s="35"/>
      <c r="I535" s="35"/>
    </row>
    <row r="536" spans="1:9" ht="14.5">
      <c r="A536" s="35"/>
      <c r="B536" s="35"/>
      <c r="C536" s="69"/>
      <c r="D536" s="35"/>
      <c r="E536" s="35"/>
      <c r="F536" s="35"/>
      <c r="G536" s="35"/>
      <c r="H536" s="35"/>
      <c r="I536" s="35"/>
    </row>
    <row r="537" spans="1:9" ht="14.5">
      <c r="A537" s="35"/>
      <c r="B537" s="35"/>
      <c r="C537" s="69"/>
      <c r="D537" s="35"/>
      <c r="E537" s="35"/>
      <c r="F537" s="35"/>
      <c r="G537" s="35"/>
      <c r="H537" s="35"/>
      <c r="I537" s="35"/>
    </row>
    <row r="538" spans="1:9" ht="14.5">
      <c r="A538" s="35"/>
      <c r="B538" s="35"/>
      <c r="C538" s="69"/>
      <c r="D538" s="35"/>
      <c r="E538" s="35"/>
      <c r="F538" s="35"/>
      <c r="G538" s="35"/>
      <c r="H538" s="35"/>
      <c r="I538" s="35"/>
    </row>
    <row r="539" spans="1:9" ht="14.5">
      <c r="A539" s="35"/>
      <c r="B539" s="35"/>
      <c r="C539" s="69"/>
      <c r="D539" s="35"/>
      <c r="E539" s="35"/>
      <c r="F539" s="35"/>
      <c r="G539" s="35"/>
      <c r="H539" s="35"/>
      <c r="I539" s="35"/>
    </row>
    <row r="540" spans="1:9" ht="14.5">
      <c r="A540" s="35"/>
      <c r="B540" s="35"/>
      <c r="C540" s="69"/>
      <c r="D540" s="35"/>
      <c r="E540" s="35"/>
      <c r="F540" s="35"/>
      <c r="G540" s="35"/>
      <c r="H540" s="35"/>
      <c r="I540" s="35"/>
    </row>
    <row r="541" spans="1:9" ht="14.5">
      <c r="A541" s="35"/>
      <c r="B541" s="35"/>
      <c r="C541" s="69"/>
      <c r="D541" s="35"/>
      <c r="E541" s="35"/>
      <c r="F541" s="35"/>
      <c r="G541" s="35"/>
      <c r="H541" s="35"/>
      <c r="I541" s="35"/>
    </row>
    <row r="542" spans="1:9" ht="14.5">
      <c r="A542" s="35"/>
      <c r="B542" s="35"/>
      <c r="C542" s="69"/>
      <c r="D542" s="35"/>
      <c r="E542" s="35"/>
      <c r="F542" s="35"/>
      <c r="G542" s="35"/>
      <c r="H542" s="35"/>
      <c r="I542" s="35"/>
    </row>
    <row r="543" spans="1:9" ht="14.5">
      <c r="A543" s="35"/>
      <c r="B543" s="35"/>
      <c r="C543" s="69"/>
      <c r="D543" s="35"/>
      <c r="E543" s="35"/>
      <c r="F543" s="35"/>
      <c r="G543" s="35"/>
      <c r="H543" s="35"/>
      <c r="I543" s="35"/>
    </row>
    <row r="544" spans="1:9" ht="14.5">
      <c r="A544" s="35"/>
      <c r="B544" s="35"/>
      <c r="C544" s="69"/>
      <c r="D544" s="35"/>
      <c r="E544" s="35"/>
      <c r="F544" s="35"/>
      <c r="G544" s="35"/>
      <c r="H544" s="35"/>
      <c r="I544" s="35"/>
    </row>
    <row r="545" spans="1:9" ht="14.5">
      <c r="A545" s="35"/>
      <c r="B545" s="35"/>
      <c r="C545" s="69"/>
      <c r="D545" s="35"/>
      <c r="E545" s="35"/>
      <c r="F545" s="35"/>
      <c r="G545" s="35"/>
      <c r="H545" s="35"/>
      <c r="I545" s="35"/>
    </row>
    <row r="546" spans="1:9" ht="14.5">
      <c r="A546" s="35"/>
      <c r="B546" s="35"/>
      <c r="C546" s="69"/>
      <c r="D546" s="35"/>
      <c r="E546" s="35"/>
      <c r="F546" s="35"/>
      <c r="G546" s="35"/>
      <c r="H546" s="35"/>
      <c r="I546" s="35"/>
    </row>
    <row r="547" spans="1:9" ht="14.5">
      <c r="A547" s="35"/>
      <c r="B547" s="35"/>
      <c r="C547" s="69"/>
      <c r="D547" s="35"/>
      <c r="E547" s="35"/>
      <c r="F547" s="35"/>
      <c r="G547" s="35"/>
      <c r="H547" s="35"/>
      <c r="I547" s="35"/>
    </row>
    <row r="548" spans="1:9" ht="14.5">
      <c r="A548" s="35"/>
      <c r="B548" s="35"/>
      <c r="C548" s="69"/>
      <c r="D548" s="35"/>
      <c r="E548" s="35"/>
      <c r="F548" s="35"/>
      <c r="G548" s="35"/>
      <c r="H548" s="35"/>
      <c r="I548" s="35"/>
    </row>
    <row r="549" spans="1:9" ht="14.5">
      <c r="A549" s="35"/>
      <c r="B549" s="35"/>
      <c r="C549" s="69"/>
      <c r="D549" s="35"/>
      <c r="E549" s="35"/>
      <c r="F549" s="35"/>
      <c r="G549" s="35"/>
      <c r="H549" s="35"/>
      <c r="I549" s="35"/>
    </row>
    <row r="550" spans="1:9" ht="14.5">
      <c r="A550" s="35"/>
      <c r="B550" s="35"/>
      <c r="C550" s="69"/>
      <c r="D550" s="35"/>
      <c r="E550" s="35"/>
      <c r="F550" s="35"/>
      <c r="G550" s="35"/>
      <c r="H550" s="35"/>
      <c r="I550" s="35"/>
    </row>
    <row r="551" spans="1:9" ht="14.5">
      <c r="A551" s="35"/>
      <c r="B551" s="35"/>
      <c r="C551" s="69"/>
      <c r="D551" s="35"/>
      <c r="E551" s="35"/>
      <c r="F551" s="35"/>
      <c r="G551" s="35"/>
      <c r="H551" s="35"/>
      <c r="I551" s="35"/>
    </row>
    <row r="552" spans="1:9" ht="14.5">
      <c r="A552" s="35"/>
      <c r="B552" s="35"/>
      <c r="C552" s="69"/>
      <c r="D552" s="35"/>
      <c r="E552" s="35"/>
      <c r="F552" s="35"/>
      <c r="G552" s="35"/>
      <c r="H552" s="35"/>
      <c r="I552" s="35"/>
    </row>
    <row r="553" spans="1:9" ht="14.5">
      <c r="A553" s="35"/>
      <c r="B553" s="35"/>
      <c r="C553" s="69"/>
      <c r="D553" s="35"/>
      <c r="E553" s="35"/>
      <c r="F553" s="35"/>
      <c r="G553" s="35"/>
      <c r="H553" s="35"/>
      <c r="I553" s="35"/>
    </row>
    <row r="554" spans="1:9" ht="14.5">
      <c r="A554" s="35"/>
      <c r="B554" s="35"/>
      <c r="C554" s="69"/>
      <c r="D554" s="35"/>
      <c r="E554" s="35"/>
      <c r="F554" s="35"/>
      <c r="G554" s="35"/>
      <c r="H554" s="35"/>
      <c r="I554" s="35"/>
    </row>
    <row r="555" spans="1:9" ht="14.5">
      <c r="A555" s="35"/>
      <c r="B555" s="35"/>
      <c r="C555" s="69"/>
      <c r="D555" s="35"/>
      <c r="E555" s="35"/>
      <c r="F555" s="35"/>
      <c r="G555" s="35"/>
      <c r="H555" s="35"/>
      <c r="I555" s="35"/>
    </row>
    <row r="556" spans="1:9" ht="14.5">
      <c r="A556" s="35"/>
      <c r="B556" s="35"/>
      <c r="C556" s="69"/>
      <c r="D556" s="35"/>
      <c r="E556" s="35"/>
      <c r="F556" s="35"/>
      <c r="G556" s="35"/>
      <c r="H556" s="35"/>
      <c r="I556" s="35"/>
    </row>
    <row r="557" spans="1:9" ht="14.5">
      <c r="A557" s="35"/>
      <c r="B557" s="35"/>
      <c r="C557" s="69"/>
      <c r="D557" s="35"/>
      <c r="E557" s="35"/>
      <c r="F557" s="35"/>
      <c r="G557" s="35"/>
      <c r="H557" s="35"/>
      <c r="I557" s="35"/>
    </row>
    <row r="558" spans="1:9" ht="14.5">
      <c r="A558" s="35"/>
      <c r="B558" s="35"/>
      <c r="C558" s="69"/>
      <c r="D558" s="35"/>
      <c r="E558" s="35"/>
      <c r="F558" s="35"/>
      <c r="G558" s="35"/>
      <c r="H558" s="35"/>
      <c r="I558" s="35"/>
    </row>
    <row r="559" spans="1:9" ht="14.5">
      <c r="A559" s="35"/>
      <c r="B559" s="35"/>
      <c r="C559" s="69"/>
      <c r="D559" s="35"/>
      <c r="E559" s="35"/>
      <c r="F559" s="35"/>
      <c r="G559" s="35"/>
      <c r="H559" s="35"/>
      <c r="I559" s="35"/>
    </row>
    <row r="560" spans="1:9" ht="14.5">
      <c r="A560" s="35"/>
      <c r="B560" s="35"/>
      <c r="C560" s="69"/>
      <c r="D560" s="35"/>
      <c r="E560" s="35"/>
      <c r="F560" s="35"/>
      <c r="G560" s="35"/>
      <c r="H560" s="35"/>
      <c r="I560" s="35"/>
    </row>
    <row r="561" spans="1:9" ht="14.5">
      <c r="A561" s="35"/>
      <c r="B561" s="35"/>
      <c r="C561" s="69"/>
      <c r="D561" s="35"/>
      <c r="E561" s="35"/>
      <c r="F561" s="35"/>
      <c r="G561" s="35"/>
      <c r="H561" s="35"/>
      <c r="I561" s="35"/>
    </row>
    <row r="562" spans="1:9" ht="14.5">
      <c r="A562" s="35"/>
      <c r="B562" s="35"/>
      <c r="C562" s="69"/>
      <c r="D562" s="35"/>
      <c r="E562" s="35"/>
      <c r="F562" s="35"/>
      <c r="G562" s="35"/>
      <c r="H562" s="35"/>
      <c r="I562" s="35"/>
    </row>
    <row r="563" spans="1:9" ht="14.5">
      <c r="A563" s="35"/>
      <c r="B563" s="35"/>
      <c r="C563" s="69"/>
      <c r="D563" s="35"/>
      <c r="E563" s="35"/>
      <c r="F563" s="35"/>
      <c r="G563" s="35"/>
      <c r="H563" s="35"/>
      <c r="I563" s="35"/>
    </row>
    <row r="564" spans="1:9" ht="14.5">
      <c r="A564" s="35"/>
      <c r="B564" s="35"/>
      <c r="C564" s="69"/>
      <c r="D564" s="35"/>
      <c r="E564" s="35"/>
      <c r="F564" s="35"/>
      <c r="G564" s="35"/>
      <c r="H564" s="35"/>
      <c r="I564" s="35"/>
    </row>
    <row r="565" spans="1:9" ht="14.5">
      <c r="A565" s="35"/>
      <c r="B565" s="35"/>
      <c r="C565" s="69"/>
      <c r="D565" s="35"/>
      <c r="E565" s="35"/>
      <c r="F565" s="35"/>
      <c r="G565" s="35"/>
      <c r="H565" s="35"/>
      <c r="I565" s="35"/>
    </row>
    <row r="566" spans="1:9" ht="14.5">
      <c r="A566" s="35"/>
      <c r="B566" s="35"/>
      <c r="C566" s="69"/>
      <c r="D566" s="35"/>
      <c r="E566" s="35"/>
      <c r="F566" s="35"/>
      <c r="G566" s="35"/>
      <c r="H566" s="35"/>
      <c r="I566" s="35"/>
    </row>
    <row r="567" spans="1:9" ht="14.5">
      <c r="A567" s="35"/>
      <c r="B567" s="35"/>
      <c r="C567" s="69"/>
      <c r="D567" s="35"/>
      <c r="E567" s="35"/>
      <c r="F567" s="35"/>
      <c r="G567" s="35"/>
      <c r="H567" s="35"/>
      <c r="I567" s="35"/>
    </row>
    <row r="568" spans="1:9" ht="14.5">
      <c r="A568" s="35"/>
      <c r="B568" s="35"/>
      <c r="C568" s="69"/>
      <c r="D568" s="35"/>
      <c r="E568" s="35"/>
      <c r="F568" s="35"/>
      <c r="G568" s="35"/>
      <c r="H568" s="35"/>
      <c r="I568" s="35"/>
    </row>
    <row r="569" spans="1:9" ht="14.5">
      <c r="A569" s="35"/>
      <c r="B569" s="35"/>
      <c r="C569" s="69"/>
      <c r="D569" s="35"/>
      <c r="E569" s="35"/>
      <c r="F569" s="35"/>
      <c r="G569" s="35"/>
      <c r="H569" s="35"/>
      <c r="I569" s="35"/>
    </row>
    <row r="570" spans="1:9" ht="14.5">
      <c r="A570" s="35"/>
      <c r="B570" s="35"/>
      <c r="C570" s="69"/>
      <c r="D570" s="35"/>
      <c r="E570" s="35"/>
      <c r="F570" s="35"/>
      <c r="G570" s="35"/>
      <c r="H570" s="35"/>
      <c r="I570" s="35"/>
    </row>
    <row r="571" spans="1:9" ht="14.5">
      <c r="A571" s="35"/>
      <c r="B571" s="35"/>
      <c r="C571" s="69"/>
      <c r="D571" s="35"/>
      <c r="E571" s="35"/>
      <c r="F571" s="35"/>
      <c r="G571" s="35"/>
      <c r="H571" s="35"/>
      <c r="I571" s="35"/>
    </row>
    <row r="572" spans="1:9" ht="14.5">
      <c r="A572" s="35"/>
      <c r="B572" s="35"/>
      <c r="C572" s="69"/>
      <c r="D572" s="35"/>
      <c r="E572" s="35"/>
      <c r="F572" s="35"/>
      <c r="G572" s="35"/>
      <c r="H572" s="35"/>
      <c r="I572" s="35"/>
    </row>
    <row r="573" spans="1:9" ht="14.5">
      <c r="A573" s="35"/>
      <c r="B573" s="35"/>
      <c r="C573" s="69"/>
      <c r="D573" s="35"/>
      <c r="E573" s="35"/>
      <c r="F573" s="35"/>
      <c r="G573" s="35"/>
      <c r="H573" s="35"/>
      <c r="I573" s="35"/>
    </row>
    <row r="574" spans="1:9" ht="14.5">
      <c r="A574" s="35"/>
      <c r="B574" s="35"/>
      <c r="C574" s="69"/>
      <c r="D574" s="35"/>
      <c r="E574" s="35"/>
      <c r="F574" s="35"/>
      <c r="G574" s="35"/>
      <c r="H574" s="35"/>
      <c r="I574" s="35"/>
    </row>
    <row r="575" spans="1:9" ht="14.5">
      <c r="A575" s="35"/>
      <c r="B575" s="35"/>
      <c r="C575" s="69"/>
      <c r="D575" s="35"/>
      <c r="E575" s="35"/>
      <c r="F575" s="35"/>
      <c r="G575" s="35"/>
      <c r="H575" s="35"/>
      <c r="I575" s="35"/>
    </row>
    <row r="576" spans="1:9" ht="14.5">
      <c r="A576" s="35"/>
      <c r="B576" s="35"/>
      <c r="C576" s="69"/>
      <c r="D576" s="35"/>
      <c r="E576" s="35"/>
      <c r="F576" s="35"/>
      <c r="G576" s="35"/>
      <c r="H576" s="35"/>
      <c r="I576" s="35"/>
    </row>
    <row r="577" spans="1:9" ht="14.5">
      <c r="A577" s="35"/>
      <c r="B577" s="35"/>
      <c r="C577" s="69"/>
      <c r="D577" s="35"/>
      <c r="E577" s="35"/>
      <c r="F577" s="35"/>
      <c r="G577" s="35"/>
      <c r="H577" s="35"/>
      <c r="I577" s="35"/>
    </row>
    <row r="578" spans="1:9" ht="14.5">
      <c r="A578" s="35"/>
      <c r="B578" s="35"/>
      <c r="C578" s="69"/>
      <c r="D578" s="35"/>
      <c r="E578" s="35"/>
      <c r="F578" s="35"/>
      <c r="G578" s="35"/>
      <c r="H578" s="35"/>
      <c r="I578" s="35"/>
    </row>
    <row r="579" spans="1:9" ht="14.5">
      <c r="A579" s="35"/>
      <c r="B579" s="35"/>
      <c r="C579" s="69"/>
      <c r="D579" s="35"/>
      <c r="E579" s="35"/>
      <c r="F579" s="35"/>
      <c r="G579" s="35"/>
      <c r="H579" s="35"/>
      <c r="I579" s="35"/>
    </row>
    <row r="580" spans="1:9" ht="14.5">
      <c r="A580" s="35"/>
      <c r="B580" s="35"/>
      <c r="C580" s="69"/>
      <c r="D580" s="35"/>
      <c r="E580" s="35"/>
      <c r="F580" s="35"/>
      <c r="G580" s="35"/>
      <c r="H580" s="35"/>
      <c r="I580" s="35"/>
    </row>
    <row r="581" spans="1:9" ht="14.5">
      <c r="A581" s="35"/>
      <c r="B581" s="35"/>
      <c r="C581" s="69"/>
      <c r="D581" s="35"/>
      <c r="E581" s="35"/>
      <c r="F581" s="35"/>
      <c r="G581" s="35"/>
      <c r="H581" s="35"/>
      <c r="I581" s="35"/>
    </row>
    <row r="582" spans="1:9" ht="14.5">
      <c r="A582" s="35"/>
      <c r="B582" s="35"/>
      <c r="C582" s="69"/>
      <c r="D582" s="35"/>
      <c r="E582" s="35"/>
      <c r="F582" s="35"/>
      <c r="G582" s="35"/>
      <c r="H582" s="35"/>
      <c r="I582" s="35"/>
    </row>
    <row r="583" spans="1:9" ht="14.5">
      <c r="A583" s="35"/>
      <c r="B583" s="35"/>
      <c r="C583" s="69"/>
      <c r="D583" s="35"/>
      <c r="E583" s="35"/>
      <c r="F583" s="35"/>
      <c r="G583" s="35"/>
      <c r="H583" s="35"/>
      <c r="I583" s="35"/>
    </row>
    <row r="584" spans="1:9" ht="14.5">
      <c r="A584" s="35"/>
      <c r="B584" s="35"/>
      <c r="C584" s="69"/>
      <c r="D584" s="35"/>
      <c r="E584" s="35"/>
      <c r="F584" s="35"/>
      <c r="G584" s="35"/>
      <c r="H584" s="35"/>
      <c r="I584" s="35"/>
    </row>
    <row r="585" spans="1:9" ht="14.5">
      <c r="A585" s="35"/>
      <c r="B585" s="35"/>
      <c r="C585" s="69"/>
      <c r="D585" s="35"/>
      <c r="E585" s="35"/>
      <c r="F585" s="35"/>
      <c r="G585" s="35"/>
      <c r="H585" s="35"/>
      <c r="I585" s="35"/>
    </row>
    <row r="586" spans="1:9" ht="14.5">
      <c r="A586" s="35"/>
      <c r="B586" s="35"/>
      <c r="C586" s="69"/>
      <c r="D586" s="35"/>
      <c r="E586" s="35"/>
      <c r="F586" s="35"/>
      <c r="G586" s="35"/>
      <c r="H586" s="35"/>
      <c r="I586" s="35"/>
    </row>
    <row r="587" spans="1:9" ht="14.5">
      <c r="A587" s="35"/>
      <c r="B587" s="35"/>
      <c r="C587" s="69"/>
      <c r="D587" s="35"/>
      <c r="E587" s="35"/>
      <c r="F587" s="35"/>
      <c r="G587" s="35"/>
      <c r="H587" s="35"/>
      <c r="I587" s="35"/>
    </row>
    <row r="588" spans="1:9" ht="14.5">
      <c r="A588" s="35"/>
      <c r="B588" s="35"/>
      <c r="C588" s="69"/>
      <c r="D588" s="35"/>
      <c r="E588" s="35"/>
      <c r="F588" s="35"/>
      <c r="G588" s="35"/>
      <c r="H588" s="35"/>
      <c r="I588" s="35"/>
    </row>
    <row r="589" spans="1:9" ht="14.5">
      <c r="A589" s="35"/>
      <c r="B589" s="35"/>
      <c r="C589" s="69"/>
      <c r="D589" s="35"/>
      <c r="E589" s="35"/>
      <c r="F589" s="35"/>
      <c r="G589" s="35"/>
      <c r="H589" s="35"/>
      <c r="I589" s="35"/>
    </row>
    <row r="590" spans="1:9" ht="14.5">
      <c r="A590" s="35"/>
      <c r="B590" s="35"/>
      <c r="C590" s="69"/>
      <c r="D590" s="35"/>
      <c r="E590" s="35"/>
      <c r="F590" s="35"/>
      <c r="G590" s="35"/>
      <c r="H590" s="35"/>
      <c r="I590" s="35"/>
    </row>
    <row r="591" spans="1:9" ht="14.5">
      <c r="A591" s="35"/>
      <c r="B591" s="35"/>
      <c r="C591" s="69"/>
      <c r="D591" s="35"/>
      <c r="E591" s="35"/>
      <c r="F591" s="35"/>
      <c r="G591" s="35"/>
      <c r="H591" s="35"/>
      <c r="I591" s="35"/>
    </row>
    <row r="592" spans="1:9" ht="14.5">
      <c r="A592" s="35"/>
      <c r="B592" s="35"/>
      <c r="C592" s="69"/>
      <c r="D592" s="35"/>
      <c r="E592" s="35"/>
      <c r="F592" s="35"/>
      <c r="G592" s="35"/>
      <c r="H592" s="35"/>
      <c r="I592" s="35"/>
    </row>
    <row r="593" spans="1:9" ht="14.5">
      <c r="A593" s="35"/>
      <c r="B593" s="35"/>
      <c r="C593" s="69"/>
      <c r="D593" s="35"/>
      <c r="E593" s="35"/>
      <c r="F593" s="35"/>
      <c r="G593" s="35"/>
      <c r="H593" s="35"/>
      <c r="I593" s="35"/>
    </row>
    <row r="594" spans="1:9" ht="14.5">
      <c r="A594" s="35"/>
      <c r="B594" s="35"/>
      <c r="C594" s="69"/>
      <c r="D594" s="35"/>
      <c r="E594" s="35"/>
      <c r="F594" s="35"/>
      <c r="G594" s="35"/>
      <c r="H594" s="35"/>
      <c r="I594" s="35"/>
    </row>
    <row r="595" spans="1:9" ht="14.5">
      <c r="A595" s="35"/>
      <c r="B595" s="35"/>
      <c r="C595" s="69"/>
      <c r="D595" s="35"/>
      <c r="E595" s="35"/>
      <c r="F595" s="35"/>
      <c r="G595" s="35"/>
      <c r="H595" s="35"/>
      <c r="I595" s="35"/>
    </row>
    <row r="596" spans="1:9" ht="14.5">
      <c r="A596" s="35"/>
      <c r="B596" s="35"/>
      <c r="C596" s="69"/>
      <c r="D596" s="35"/>
      <c r="E596" s="35"/>
      <c r="F596" s="35"/>
      <c r="G596" s="35"/>
      <c r="H596" s="35"/>
      <c r="I596" s="35"/>
    </row>
    <row r="597" spans="1:9" ht="14.5">
      <c r="A597" s="35"/>
      <c r="B597" s="35"/>
      <c r="C597" s="69"/>
      <c r="D597" s="35"/>
      <c r="E597" s="35"/>
      <c r="F597" s="35"/>
      <c r="G597" s="35"/>
      <c r="H597" s="35"/>
      <c r="I597" s="35"/>
    </row>
    <row r="598" spans="1:9" ht="14.5">
      <c r="A598" s="35"/>
      <c r="B598" s="35"/>
      <c r="C598" s="69"/>
      <c r="D598" s="35"/>
      <c r="E598" s="35"/>
      <c r="F598" s="35"/>
      <c r="G598" s="35"/>
      <c r="H598" s="35"/>
      <c r="I598" s="35"/>
    </row>
    <row r="599" spans="1:9" ht="14.5">
      <c r="A599" s="35"/>
      <c r="B599" s="35"/>
      <c r="C599" s="69"/>
      <c r="D599" s="35"/>
      <c r="E599" s="35"/>
      <c r="F599" s="35"/>
      <c r="G599" s="35"/>
      <c r="H599" s="35"/>
      <c r="I599" s="35"/>
    </row>
    <row r="600" spans="1:9" ht="14.5">
      <c r="A600" s="35"/>
      <c r="B600" s="35"/>
      <c r="C600" s="69"/>
      <c r="D600" s="35"/>
      <c r="E600" s="35"/>
      <c r="F600" s="35"/>
      <c r="G600" s="35"/>
      <c r="H600" s="35"/>
      <c r="I600" s="35"/>
    </row>
    <row r="601" spans="1:9" ht="14.5">
      <c r="A601" s="35"/>
      <c r="B601" s="35"/>
      <c r="C601" s="69"/>
      <c r="D601" s="35"/>
      <c r="E601" s="35"/>
      <c r="F601" s="35"/>
      <c r="G601" s="35"/>
      <c r="H601" s="35"/>
      <c r="I601" s="35"/>
    </row>
    <row r="602" spans="1:9" ht="14.5">
      <c r="A602" s="35"/>
      <c r="B602" s="35"/>
      <c r="C602" s="69"/>
      <c r="D602" s="35"/>
      <c r="E602" s="35"/>
      <c r="F602" s="35"/>
      <c r="G602" s="35"/>
      <c r="H602" s="35"/>
      <c r="I602" s="35"/>
    </row>
    <row r="603" spans="1:9" ht="14.5">
      <c r="A603" s="35"/>
      <c r="B603" s="35"/>
      <c r="C603" s="69"/>
      <c r="D603" s="35"/>
      <c r="E603" s="35"/>
      <c r="F603" s="35"/>
      <c r="G603" s="35"/>
      <c r="H603" s="35"/>
      <c r="I603" s="35"/>
    </row>
    <row r="604" spans="1:9" ht="14.5">
      <c r="A604" s="35"/>
      <c r="B604" s="35"/>
      <c r="C604" s="69"/>
      <c r="D604" s="35"/>
      <c r="E604" s="35"/>
      <c r="F604" s="35"/>
      <c r="G604" s="35"/>
      <c r="H604" s="35"/>
      <c r="I604" s="35"/>
    </row>
    <row r="605" spans="1:9" ht="14.5">
      <c r="A605" s="35"/>
      <c r="B605" s="35"/>
      <c r="C605" s="69"/>
      <c r="D605" s="35"/>
      <c r="E605" s="35"/>
      <c r="F605" s="35"/>
      <c r="G605" s="35"/>
      <c r="H605" s="35"/>
      <c r="I605" s="35"/>
    </row>
    <row r="606" spans="1:9" ht="14.5">
      <c r="A606" s="35"/>
      <c r="B606" s="35"/>
      <c r="C606" s="69"/>
      <c r="D606" s="35"/>
      <c r="E606" s="35"/>
      <c r="F606" s="35"/>
      <c r="G606" s="35"/>
      <c r="H606" s="35"/>
      <c r="I606" s="35"/>
    </row>
    <row r="607" spans="1:9" ht="14.5">
      <c r="A607" s="35"/>
      <c r="B607" s="35"/>
      <c r="C607" s="69"/>
      <c r="D607" s="35"/>
      <c r="E607" s="35"/>
      <c r="F607" s="35"/>
      <c r="G607" s="35"/>
      <c r="H607" s="35"/>
      <c r="I607" s="35"/>
    </row>
    <row r="608" spans="1:9" ht="14.5">
      <c r="A608" s="35"/>
      <c r="B608" s="35"/>
      <c r="C608" s="69"/>
      <c r="D608" s="35"/>
      <c r="E608" s="35"/>
      <c r="F608" s="35"/>
      <c r="G608" s="35"/>
      <c r="H608" s="35"/>
      <c r="I608" s="35"/>
    </row>
    <row r="609" spans="1:9" ht="14.5">
      <c r="A609" s="35"/>
      <c r="B609" s="35"/>
      <c r="C609" s="69"/>
      <c r="D609" s="35"/>
      <c r="E609" s="35"/>
      <c r="F609" s="35"/>
      <c r="G609" s="35"/>
      <c r="H609" s="35"/>
      <c r="I609" s="35"/>
    </row>
    <row r="610" spans="1:9" ht="14.5">
      <c r="A610" s="35"/>
      <c r="B610" s="35"/>
      <c r="C610" s="69"/>
      <c r="D610" s="35"/>
      <c r="E610" s="35"/>
      <c r="F610" s="35"/>
      <c r="G610" s="35"/>
      <c r="H610" s="35"/>
      <c r="I610" s="35"/>
    </row>
    <row r="611" spans="1:9" ht="14.5">
      <c r="A611" s="35"/>
      <c r="B611" s="35"/>
      <c r="C611" s="69"/>
      <c r="D611" s="35"/>
      <c r="E611" s="35"/>
      <c r="F611" s="35"/>
      <c r="G611" s="35"/>
      <c r="H611" s="35"/>
      <c r="I611" s="35"/>
    </row>
    <row r="612" spans="1:9" ht="14.5">
      <c r="A612" s="35"/>
      <c r="B612" s="35"/>
      <c r="C612" s="69"/>
      <c r="D612" s="35"/>
      <c r="E612" s="35"/>
      <c r="F612" s="35"/>
      <c r="G612" s="35"/>
      <c r="H612" s="35"/>
      <c r="I612" s="35"/>
    </row>
    <row r="613" spans="1:9" ht="14.5">
      <c r="A613" s="35"/>
      <c r="B613" s="35"/>
      <c r="C613" s="69"/>
      <c r="D613" s="35"/>
      <c r="E613" s="35"/>
      <c r="F613" s="35"/>
      <c r="G613" s="35"/>
      <c r="H613" s="35"/>
      <c r="I613" s="35"/>
    </row>
    <row r="614" spans="1:9" ht="14.5">
      <c r="A614" s="35"/>
      <c r="B614" s="35"/>
      <c r="C614" s="69"/>
      <c r="D614" s="35"/>
      <c r="E614" s="35"/>
      <c r="F614" s="35"/>
      <c r="G614" s="35"/>
      <c r="H614" s="35"/>
      <c r="I614" s="35"/>
    </row>
    <row r="615" spans="1:9" ht="14.5">
      <c r="A615" s="35"/>
      <c r="B615" s="35"/>
      <c r="C615" s="69"/>
      <c r="D615" s="35"/>
      <c r="E615" s="35"/>
      <c r="F615" s="35"/>
      <c r="G615" s="35"/>
      <c r="H615" s="35"/>
      <c r="I615" s="35"/>
    </row>
    <row r="616" spans="1:9" ht="14.5">
      <c r="A616" s="35"/>
      <c r="B616" s="35"/>
      <c r="C616" s="69"/>
      <c r="D616" s="35"/>
      <c r="E616" s="35"/>
      <c r="F616" s="35"/>
      <c r="G616" s="35"/>
      <c r="H616" s="35"/>
      <c r="I616" s="35"/>
    </row>
    <row r="617" spans="1:9" ht="14.5">
      <c r="A617" s="35"/>
      <c r="B617" s="35"/>
      <c r="C617" s="69"/>
      <c r="D617" s="35"/>
      <c r="E617" s="35"/>
      <c r="F617" s="35"/>
      <c r="G617" s="35"/>
      <c r="H617" s="35"/>
      <c r="I617" s="35"/>
    </row>
    <row r="618" spans="1:9" ht="14.5">
      <c r="A618" s="35"/>
      <c r="B618" s="35"/>
      <c r="C618" s="69"/>
      <c r="D618" s="35"/>
      <c r="E618" s="35"/>
      <c r="F618" s="35"/>
      <c r="G618" s="35"/>
      <c r="H618" s="35"/>
      <c r="I618" s="35"/>
    </row>
    <row r="619" spans="1:9" ht="14.5">
      <c r="A619" s="35"/>
      <c r="B619" s="35"/>
      <c r="C619" s="69"/>
      <c r="D619" s="35"/>
      <c r="E619" s="35"/>
      <c r="F619" s="35"/>
      <c r="G619" s="35"/>
      <c r="H619" s="35"/>
      <c r="I619" s="35"/>
    </row>
    <row r="620" spans="1:9" ht="14.5">
      <c r="A620" s="35"/>
      <c r="B620" s="35"/>
      <c r="C620" s="69"/>
      <c r="D620" s="35"/>
      <c r="E620" s="35"/>
      <c r="F620" s="35"/>
      <c r="G620" s="35"/>
      <c r="H620" s="35"/>
      <c r="I620" s="35"/>
    </row>
    <row r="621" spans="1:9" ht="14.5">
      <c r="A621" s="35"/>
      <c r="B621" s="35"/>
      <c r="C621" s="69"/>
      <c r="D621" s="35"/>
      <c r="E621" s="35"/>
      <c r="F621" s="35"/>
      <c r="G621" s="35"/>
      <c r="H621" s="35"/>
      <c r="I621" s="35"/>
    </row>
    <row r="622" spans="1:9" ht="14.5">
      <c r="A622" s="35"/>
      <c r="B622" s="35"/>
      <c r="C622" s="69"/>
      <c r="D622" s="35"/>
      <c r="E622" s="35"/>
      <c r="F622" s="35"/>
      <c r="G622" s="35"/>
      <c r="H622" s="35"/>
      <c r="I622" s="35"/>
    </row>
    <row r="623" spans="1:9" ht="14.5">
      <c r="A623" s="35"/>
      <c r="B623" s="35"/>
      <c r="C623" s="69"/>
      <c r="D623" s="35"/>
      <c r="E623" s="35"/>
      <c r="F623" s="35"/>
      <c r="G623" s="35"/>
      <c r="H623" s="35"/>
      <c r="I623" s="35"/>
    </row>
    <row r="624" spans="1:9" ht="14.5">
      <c r="A624" s="35"/>
      <c r="B624" s="35"/>
      <c r="C624" s="69"/>
      <c r="D624" s="35"/>
      <c r="E624" s="35"/>
      <c r="F624" s="35"/>
      <c r="G624" s="35"/>
      <c r="H624" s="35"/>
      <c r="I624" s="35"/>
    </row>
    <row r="625" spans="1:9" ht="14.5">
      <c r="A625" s="35"/>
      <c r="B625" s="35"/>
      <c r="C625" s="69"/>
      <c r="D625" s="35"/>
      <c r="E625" s="35"/>
      <c r="F625" s="35"/>
      <c r="G625" s="35"/>
      <c r="H625" s="35"/>
      <c r="I625" s="35"/>
    </row>
    <row r="626" spans="1:9" ht="14.5">
      <c r="A626" s="35"/>
      <c r="B626" s="35"/>
      <c r="C626" s="69"/>
      <c r="D626" s="35"/>
      <c r="E626" s="35"/>
      <c r="F626" s="35"/>
      <c r="G626" s="35"/>
      <c r="H626" s="35"/>
      <c r="I626" s="35"/>
    </row>
    <row r="627" spans="1:9" ht="14.5">
      <c r="A627" s="35"/>
      <c r="B627" s="35"/>
      <c r="C627" s="69"/>
      <c r="D627" s="35"/>
      <c r="E627" s="35"/>
      <c r="F627" s="35"/>
      <c r="G627" s="35"/>
      <c r="H627" s="35"/>
      <c r="I627" s="35"/>
    </row>
    <row r="628" spans="1:9" ht="14.5">
      <c r="A628" s="35"/>
      <c r="B628" s="35"/>
      <c r="C628" s="69"/>
      <c r="D628" s="35"/>
      <c r="E628" s="35"/>
      <c r="F628" s="35"/>
      <c r="G628" s="35"/>
      <c r="H628" s="35"/>
      <c r="I628" s="35"/>
    </row>
    <row r="629" spans="1:9" ht="14.5">
      <c r="A629" s="35"/>
      <c r="B629" s="35"/>
      <c r="C629" s="69"/>
      <c r="D629" s="35"/>
      <c r="E629" s="35"/>
      <c r="F629" s="35"/>
      <c r="G629" s="35"/>
      <c r="H629" s="35"/>
      <c r="I629" s="35"/>
    </row>
    <row r="630" spans="1:9" ht="14.5">
      <c r="A630" s="35"/>
      <c r="B630" s="35"/>
      <c r="C630" s="69"/>
      <c r="D630" s="35"/>
      <c r="E630" s="35"/>
      <c r="F630" s="35"/>
      <c r="G630" s="35"/>
      <c r="H630" s="35"/>
      <c r="I630" s="35"/>
    </row>
    <row r="631" spans="1:9" ht="14.5">
      <c r="A631" s="35"/>
      <c r="B631" s="35"/>
      <c r="C631" s="69"/>
      <c r="D631" s="35"/>
      <c r="E631" s="35"/>
      <c r="F631" s="35"/>
      <c r="G631" s="35"/>
      <c r="H631" s="35"/>
      <c r="I631" s="35"/>
    </row>
    <row r="632" spans="1:9" ht="14.5">
      <c r="A632" s="35"/>
      <c r="B632" s="35"/>
      <c r="C632" s="69"/>
      <c r="D632" s="35"/>
      <c r="E632" s="35"/>
      <c r="F632" s="35"/>
      <c r="G632" s="35"/>
      <c r="H632" s="35"/>
      <c r="I632" s="35"/>
    </row>
    <row r="633" spans="1:9" ht="14.5">
      <c r="A633" s="35"/>
      <c r="B633" s="35"/>
      <c r="C633" s="69"/>
      <c r="D633" s="35"/>
      <c r="E633" s="35"/>
      <c r="F633" s="35"/>
      <c r="G633" s="35"/>
      <c r="H633" s="35"/>
      <c r="I633" s="35"/>
    </row>
    <row r="634" spans="1:9" ht="14.5">
      <c r="A634" s="35"/>
      <c r="B634" s="35"/>
      <c r="C634" s="69"/>
      <c r="D634" s="35"/>
      <c r="E634" s="35"/>
      <c r="F634" s="35"/>
      <c r="G634" s="35"/>
      <c r="H634" s="35"/>
      <c r="I634" s="35"/>
    </row>
    <row r="635" spans="1:9" ht="14.5">
      <c r="A635" s="35"/>
      <c r="B635" s="35"/>
      <c r="C635" s="69"/>
      <c r="D635" s="35"/>
      <c r="E635" s="35"/>
      <c r="F635" s="35"/>
      <c r="G635" s="35"/>
      <c r="H635" s="35"/>
      <c r="I635" s="35"/>
    </row>
    <row r="636" spans="1:9" ht="14.5">
      <c r="A636" s="35"/>
      <c r="B636" s="35"/>
      <c r="C636" s="69"/>
      <c r="D636" s="35"/>
      <c r="E636" s="35"/>
      <c r="F636" s="35"/>
      <c r="G636" s="35"/>
      <c r="H636" s="35"/>
      <c r="I636" s="35"/>
    </row>
    <row r="637" spans="1:9" ht="14.5">
      <c r="A637" s="35"/>
      <c r="B637" s="35"/>
      <c r="C637" s="69"/>
      <c r="D637" s="35"/>
      <c r="E637" s="35"/>
      <c r="F637" s="35"/>
      <c r="G637" s="35"/>
      <c r="H637" s="35"/>
      <c r="I637" s="35"/>
    </row>
    <row r="638" spans="1:9" ht="14.5">
      <c r="A638" s="35"/>
      <c r="B638" s="35"/>
      <c r="C638" s="69"/>
      <c r="D638" s="35"/>
      <c r="E638" s="35"/>
      <c r="F638" s="35"/>
      <c r="G638" s="35"/>
      <c r="H638" s="35"/>
      <c r="I638" s="35"/>
    </row>
    <row r="639" spans="1:9" ht="14.5">
      <c r="A639" s="35"/>
      <c r="B639" s="35"/>
      <c r="C639" s="69"/>
      <c r="D639" s="35"/>
      <c r="E639" s="35"/>
      <c r="F639" s="35"/>
      <c r="G639" s="35"/>
      <c r="H639" s="35"/>
      <c r="I639" s="35"/>
    </row>
    <row r="640" spans="1:9" ht="14.5">
      <c r="A640" s="35"/>
      <c r="B640" s="35"/>
      <c r="C640" s="69"/>
      <c r="D640" s="35"/>
      <c r="E640" s="35"/>
      <c r="F640" s="35"/>
      <c r="G640" s="35"/>
      <c r="H640" s="35"/>
      <c r="I640" s="35"/>
    </row>
    <row r="641" spans="1:9" ht="14.5">
      <c r="A641" s="35"/>
      <c r="B641" s="35"/>
      <c r="C641" s="69"/>
      <c r="D641" s="35"/>
      <c r="E641" s="35"/>
      <c r="F641" s="35"/>
      <c r="G641" s="35"/>
      <c r="H641" s="35"/>
      <c r="I641" s="35"/>
    </row>
    <row r="642" spans="1:9" ht="14.5">
      <c r="A642" s="35"/>
      <c r="B642" s="35"/>
      <c r="C642" s="69"/>
      <c r="D642" s="35"/>
      <c r="E642" s="35"/>
      <c r="F642" s="35"/>
      <c r="G642" s="35"/>
      <c r="H642" s="35"/>
      <c r="I642" s="35"/>
    </row>
    <row r="643" spans="1:9" ht="14.5">
      <c r="A643" s="35"/>
      <c r="B643" s="35"/>
      <c r="C643" s="69"/>
      <c r="D643" s="35"/>
      <c r="E643" s="35"/>
      <c r="F643" s="35"/>
      <c r="G643" s="35"/>
      <c r="H643" s="35"/>
      <c r="I643" s="35"/>
    </row>
    <row r="644" spans="1:9" ht="14.5">
      <c r="A644" s="35"/>
      <c r="B644" s="35"/>
      <c r="C644" s="69"/>
      <c r="D644" s="35"/>
      <c r="E644" s="35"/>
      <c r="F644" s="35"/>
      <c r="G644" s="35"/>
      <c r="H644" s="35"/>
      <c r="I644" s="35"/>
    </row>
    <row r="645" spans="1:9" ht="14.5">
      <c r="A645" s="35"/>
      <c r="B645" s="35"/>
      <c r="C645" s="69"/>
      <c r="D645" s="35"/>
      <c r="E645" s="35"/>
      <c r="F645" s="35"/>
      <c r="G645" s="35"/>
      <c r="H645" s="35"/>
      <c r="I645" s="35"/>
    </row>
    <row r="646" spans="1:9" ht="14.5">
      <c r="A646" s="35"/>
      <c r="B646" s="35"/>
      <c r="C646" s="69"/>
      <c r="D646" s="35"/>
      <c r="E646" s="35"/>
      <c r="F646" s="35"/>
      <c r="G646" s="35"/>
      <c r="H646" s="35"/>
      <c r="I646" s="35"/>
    </row>
    <row r="647" spans="1:9" ht="14.5">
      <c r="A647" s="35"/>
      <c r="B647" s="35"/>
      <c r="C647" s="69"/>
      <c r="D647" s="35"/>
      <c r="E647" s="35"/>
      <c r="F647" s="35"/>
      <c r="G647" s="35"/>
      <c r="H647" s="35"/>
      <c r="I647" s="35"/>
    </row>
    <row r="648" spans="1:9" ht="14.5">
      <c r="A648" s="35"/>
      <c r="B648" s="35"/>
      <c r="C648" s="69"/>
      <c r="D648" s="35"/>
      <c r="E648" s="35"/>
      <c r="F648" s="35"/>
      <c r="G648" s="35"/>
      <c r="H648" s="35"/>
      <c r="I648" s="35"/>
    </row>
    <row r="649" spans="1:9" ht="14.5">
      <c r="A649" s="35"/>
      <c r="B649" s="35"/>
      <c r="C649" s="69"/>
      <c r="D649" s="35"/>
      <c r="E649" s="35"/>
      <c r="F649" s="35"/>
      <c r="G649" s="35"/>
      <c r="H649" s="35"/>
      <c r="I649" s="35"/>
    </row>
    <row r="650" spans="1:9" ht="14.5">
      <c r="A650" s="35"/>
      <c r="B650" s="35"/>
      <c r="C650" s="69"/>
      <c r="D650" s="35"/>
      <c r="E650" s="35"/>
      <c r="F650" s="35"/>
      <c r="G650" s="35"/>
      <c r="H650" s="35"/>
      <c r="I650" s="35"/>
    </row>
    <row r="651" spans="1:9" ht="14.5">
      <c r="A651" s="35"/>
      <c r="B651" s="35"/>
      <c r="C651" s="69"/>
      <c r="D651" s="35"/>
      <c r="E651" s="35"/>
      <c r="F651" s="35"/>
      <c r="G651" s="35"/>
      <c r="H651" s="35"/>
      <c r="I651" s="35"/>
    </row>
    <row r="652" spans="1:9" ht="14.5">
      <c r="A652" s="35"/>
      <c r="B652" s="35"/>
      <c r="C652" s="69"/>
      <c r="D652" s="35"/>
      <c r="E652" s="35"/>
      <c r="F652" s="35"/>
      <c r="G652" s="35"/>
      <c r="H652" s="35"/>
      <c r="I652" s="35"/>
    </row>
    <row r="653" spans="1:9" ht="14.5">
      <c r="A653" s="35"/>
      <c r="B653" s="35"/>
      <c r="C653" s="69"/>
      <c r="D653" s="35"/>
      <c r="E653" s="35"/>
      <c r="F653" s="35"/>
      <c r="G653" s="35"/>
      <c r="H653" s="35"/>
      <c r="I653" s="35"/>
    </row>
    <row r="654" spans="1:9" ht="14.5">
      <c r="A654" s="35"/>
      <c r="B654" s="35"/>
      <c r="C654" s="69"/>
      <c r="D654" s="35"/>
      <c r="E654" s="35"/>
      <c r="F654" s="35"/>
      <c r="G654" s="35"/>
      <c r="H654" s="35"/>
      <c r="I654" s="35"/>
    </row>
    <row r="655" spans="1:9" ht="14.5">
      <c r="A655" s="35"/>
      <c r="B655" s="35"/>
      <c r="C655" s="69"/>
      <c r="D655" s="35"/>
      <c r="E655" s="35"/>
      <c r="F655" s="35"/>
      <c r="G655" s="35"/>
      <c r="H655" s="35"/>
      <c r="I655" s="35"/>
    </row>
    <row r="656" spans="1:9" ht="14.5">
      <c r="A656" s="35"/>
      <c r="B656" s="35"/>
      <c r="C656" s="69"/>
      <c r="D656" s="35"/>
      <c r="E656" s="35"/>
      <c r="F656" s="35"/>
      <c r="G656" s="35"/>
      <c r="H656" s="35"/>
      <c r="I656" s="35"/>
    </row>
    <row r="657" spans="1:9" ht="14.5">
      <c r="A657" s="35"/>
      <c r="B657" s="35"/>
      <c r="C657" s="69"/>
      <c r="D657" s="35"/>
      <c r="E657" s="35"/>
      <c r="F657" s="35"/>
      <c r="G657" s="35"/>
      <c r="H657" s="35"/>
      <c r="I657" s="35"/>
    </row>
    <row r="658" spans="1:9" ht="14.5">
      <c r="A658" s="35"/>
      <c r="B658" s="35"/>
      <c r="C658" s="69"/>
      <c r="D658" s="35"/>
      <c r="E658" s="35"/>
      <c r="F658" s="35"/>
      <c r="G658" s="35"/>
      <c r="H658" s="35"/>
      <c r="I658" s="35"/>
    </row>
    <row r="659" spans="1:9" ht="14.5">
      <c r="A659" s="35"/>
      <c r="B659" s="35"/>
      <c r="C659" s="69"/>
      <c r="D659" s="35"/>
      <c r="E659" s="35"/>
      <c r="F659" s="35"/>
      <c r="G659" s="35"/>
      <c r="H659" s="35"/>
      <c r="I659" s="35"/>
    </row>
    <row r="660" spans="1:9" ht="14.5">
      <c r="A660" s="35"/>
      <c r="B660" s="35"/>
      <c r="C660" s="69"/>
      <c r="D660" s="35"/>
      <c r="E660" s="35"/>
      <c r="F660" s="35"/>
      <c r="G660" s="35"/>
      <c r="H660" s="35"/>
      <c r="I660" s="35"/>
    </row>
    <row r="661" spans="1:9" ht="14.5">
      <c r="A661" s="35"/>
      <c r="B661" s="35"/>
      <c r="C661" s="69"/>
      <c r="D661" s="35"/>
      <c r="E661" s="35"/>
      <c r="F661" s="35"/>
      <c r="G661" s="35"/>
      <c r="H661" s="35"/>
      <c r="I661" s="35"/>
    </row>
    <row r="662" spans="1:9" ht="14.5">
      <c r="A662" s="35"/>
      <c r="B662" s="35"/>
      <c r="C662" s="69"/>
      <c r="D662" s="35"/>
      <c r="E662" s="35"/>
      <c r="F662" s="35"/>
      <c r="G662" s="35"/>
      <c r="H662" s="35"/>
      <c r="I662" s="35"/>
    </row>
    <row r="663" spans="1:9" ht="14.5">
      <c r="A663" s="35"/>
      <c r="B663" s="35"/>
      <c r="C663" s="69"/>
      <c r="D663" s="35"/>
      <c r="E663" s="35"/>
      <c r="F663" s="35"/>
      <c r="G663" s="35"/>
      <c r="H663" s="35"/>
      <c r="I663" s="35"/>
    </row>
    <row r="664" spans="1:9" ht="14.5">
      <c r="A664" s="35"/>
      <c r="B664" s="35"/>
      <c r="C664" s="69"/>
      <c r="D664" s="35"/>
      <c r="E664" s="35"/>
      <c r="F664" s="35"/>
      <c r="G664" s="35"/>
      <c r="H664" s="35"/>
      <c r="I664" s="35"/>
    </row>
    <row r="665" spans="1:9" ht="14.5">
      <c r="A665" s="35"/>
      <c r="B665" s="35"/>
      <c r="C665" s="69"/>
      <c r="D665" s="35"/>
      <c r="E665" s="35"/>
      <c r="F665" s="35"/>
      <c r="G665" s="35"/>
      <c r="H665" s="35"/>
      <c r="I665" s="35"/>
    </row>
    <row r="666" spans="1:9" ht="14.5">
      <c r="A666" s="35"/>
      <c r="B666" s="35"/>
      <c r="C666" s="69"/>
      <c r="D666" s="35"/>
      <c r="E666" s="35"/>
      <c r="F666" s="35"/>
      <c r="G666" s="35"/>
      <c r="H666" s="35"/>
      <c r="I666" s="35"/>
    </row>
    <row r="667" spans="1:9" ht="14.5">
      <c r="A667" s="35"/>
      <c r="B667" s="35"/>
      <c r="C667" s="69"/>
      <c r="D667" s="35"/>
      <c r="E667" s="35"/>
      <c r="F667" s="35"/>
      <c r="G667" s="35"/>
      <c r="H667" s="35"/>
      <c r="I667" s="35"/>
    </row>
    <row r="668" spans="1:9" ht="14.5">
      <c r="A668" s="35"/>
      <c r="B668" s="35"/>
      <c r="C668" s="69"/>
      <c r="D668" s="35"/>
      <c r="E668" s="35"/>
      <c r="F668" s="35"/>
      <c r="G668" s="35"/>
      <c r="H668" s="35"/>
      <c r="I668" s="35"/>
    </row>
    <row r="669" spans="1:9" ht="14.5">
      <c r="A669" s="35"/>
      <c r="B669" s="35"/>
      <c r="C669" s="69"/>
      <c r="D669" s="35"/>
      <c r="E669" s="35"/>
      <c r="F669" s="35"/>
      <c r="G669" s="35"/>
      <c r="H669" s="35"/>
      <c r="I669" s="35"/>
    </row>
    <row r="670" spans="1:9" ht="14.5">
      <c r="A670" s="35"/>
      <c r="B670" s="35"/>
      <c r="C670" s="69"/>
      <c r="D670" s="35"/>
      <c r="E670" s="35"/>
      <c r="F670" s="35"/>
      <c r="G670" s="35"/>
      <c r="H670" s="35"/>
      <c r="I670" s="35"/>
    </row>
    <row r="671" spans="1:9" ht="14.5">
      <c r="A671" s="35"/>
      <c r="B671" s="35"/>
      <c r="C671" s="69"/>
      <c r="D671" s="35"/>
      <c r="E671" s="35"/>
      <c r="F671" s="35"/>
      <c r="G671" s="35"/>
      <c r="H671" s="35"/>
      <c r="I671" s="35"/>
    </row>
    <row r="672" spans="1:9" ht="14.5">
      <c r="A672" s="35"/>
      <c r="B672" s="35"/>
      <c r="C672" s="69"/>
      <c r="D672" s="35"/>
      <c r="E672" s="35"/>
      <c r="F672" s="35"/>
      <c r="G672" s="35"/>
      <c r="H672" s="35"/>
      <c r="I672" s="35"/>
    </row>
    <row r="673" spans="1:9" ht="14.5">
      <c r="A673" s="35"/>
      <c r="B673" s="35"/>
      <c r="C673" s="69"/>
      <c r="D673" s="35"/>
      <c r="E673" s="35"/>
      <c r="F673" s="35"/>
      <c r="G673" s="35"/>
      <c r="H673" s="35"/>
      <c r="I673" s="35"/>
    </row>
    <row r="674" spans="1:9" ht="14.5">
      <c r="A674" s="35"/>
      <c r="B674" s="35"/>
      <c r="C674" s="69"/>
      <c r="D674" s="35"/>
      <c r="E674" s="35"/>
      <c r="F674" s="35"/>
      <c r="G674" s="35"/>
      <c r="H674" s="35"/>
      <c r="I674" s="35"/>
    </row>
    <row r="675" spans="1:9" ht="14.5">
      <c r="A675" s="35"/>
      <c r="B675" s="35"/>
      <c r="C675" s="69"/>
      <c r="D675" s="35"/>
      <c r="E675" s="35"/>
      <c r="F675" s="35"/>
      <c r="G675" s="35"/>
      <c r="H675" s="35"/>
      <c r="I675" s="35"/>
    </row>
    <row r="676" spans="1:9" ht="14.5">
      <c r="A676" s="35"/>
      <c r="B676" s="35"/>
      <c r="C676" s="69"/>
      <c r="D676" s="35"/>
      <c r="E676" s="35"/>
      <c r="F676" s="35"/>
      <c r="G676" s="35"/>
      <c r="H676" s="35"/>
      <c r="I676" s="35"/>
    </row>
    <row r="677" spans="1:9" ht="14.5">
      <c r="A677" s="35"/>
      <c r="B677" s="35"/>
      <c r="C677" s="69"/>
      <c r="D677" s="35"/>
      <c r="E677" s="35"/>
      <c r="F677" s="35"/>
      <c r="G677" s="35"/>
      <c r="H677" s="35"/>
      <c r="I677" s="35"/>
    </row>
    <row r="678" spans="1:9" ht="14.5">
      <c r="A678" s="35"/>
      <c r="B678" s="35"/>
      <c r="C678" s="69"/>
      <c r="D678" s="35"/>
      <c r="E678" s="35"/>
      <c r="F678" s="35"/>
      <c r="G678" s="35"/>
      <c r="H678" s="35"/>
      <c r="I678" s="35"/>
    </row>
    <row r="679" spans="1:9" ht="14.5">
      <c r="A679" s="35"/>
      <c r="B679" s="35"/>
      <c r="C679" s="69"/>
      <c r="D679" s="35"/>
      <c r="E679" s="35"/>
      <c r="F679" s="35"/>
      <c r="G679" s="35"/>
      <c r="H679" s="35"/>
      <c r="I679" s="35"/>
    </row>
    <row r="680" spans="1:9" ht="14.5">
      <c r="A680" s="35"/>
      <c r="B680" s="35"/>
      <c r="C680" s="69"/>
      <c r="D680" s="35"/>
      <c r="E680" s="35"/>
      <c r="F680" s="35"/>
      <c r="G680" s="35"/>
      <c r="H680" s="35"/>
      <c r="I680" s="35"/>
    </row>
    <row r="681" spans="1:9" ht="14.5">
      <c r="A681" s="35"/>
      <c r="B681" s="35"/>
      <c r="C681" s="69"/>
      <c r="D681" s="35"/>
      <c r="E681" s="35"/>
      <c r="F681" s="35"/>
      <c r="G681" s="35"/>
      <c r="H681" s="35"/>
      <c r="I681" s="35"/>
    </row>
    <row r="682" spans="1:9" ht="14.5">
      <c r="A682" s="35"/>
      <c r="B682" s="35"/>
      <c r="C682" s="69"/>
      <c r="D682" s="35"/>
      <c r="E682" s="35"/>
      <c r="F682" s="35"/>
      <c r="G682" s="35"/>
      <c r="H682" s="35"/>
      <c r="I682" s="35"/>
    </row>
    <row r="683" spans="1:9" ht="14.5">
      <c r="A683" s="35"/>
      <c r="B683" s="35"/>
      <c r="C683" s="69"/>
      <c r="D683" s="35"/>
      <c r="E683" s="35"/>
      <c r="F683" s="35"/>
      <c r="G683" s="35"/>
      <c r="H683" s="35"/>
      <c r="I683" s="35"/>
    </row>
    <row r="684" spans="1:9" ht="14.5">
      <c r="A684" s="35"/>
      <c r="B684" s="35"/>
      <c r="C684" s="69"/>
      <c r="D684" s="35"/>
      <c r="E684" s="35"/>
      <c r="F684" s="35"/>
      <c r="G684" s="35"/>
      <c r="H684" s="35"/>
      <c r="I684" s="35"/>
    </row>
    <row r="685" spans="1:9" ht="14.5">
      <c r="A685" s="35"/>
      <c r="B685" s="35"/>
      <c r="C685" s="69"/>
      <c r="D685" s="35"/>
      <c r="E685" s="35"/>
      <c r="F685" s="35"/>
      <c r="G685" s="35"/>
      <c r="H685" s="35"/>
      <c r="I685" s="35"/>
    </row>
    <row r="686" spans="1:9" ht="14.5">
      <c r="A686" s="35"/>
      <c r="B686" s="35"/>
      <c r="C686" s="69"/>
      <c r="D686" s="35"/>
      <c r="E686" s="35"/>
      <c r="F686" s="35"/>
      <c r="G686" s="35"/>
      <c r="H686" s="35"/>
      <c r="I686" s="35"/>
    </row>
    <row r="687" spans="1:9" ht="14.5">
      <c r="A687" s="35"/>
      <c r="B687" s="35"/>
      <c r="C687" s="69"/>
      <c r="D687" s="35"/>
      <c r="E687" s="35"/>
      <c r="F687" s="35"/>
      <c r="G687" s="35"/>
      <c r="H687" s="35"/>
      <c r="I687" s="35"/>
    </row>
    <row r="688" spans="1:9" ht="14.5">
      <c r="A688" s="35"/>
      <c r="B688" s="35"/>
      <c r="C688" s="69"/>
      <c r="D688" s="35"/>
      <c r="E688" s="35"/>
      <c r="F688" s="35"/>
      <c r="G688" s="35"/>
      <c r="H688" s="35"/>
      <c r="I688" s="35"/>
    </row>
    <row r="689" spans="1:9" ht="14.5">
      <c r="A689" s="35"/>
      <c r="B689" s="35"/>
      <c r="C689" s="69"/>
      <c r="D689" s="35"/>
      <c r="E689" s="35"/>
      <c r="F689" s="35"/>
      <c r="G689" s="35"/>
      <c r="H689" s="35"/>
      <c r="I689" s="35"/>
    </row>
    <row r="690" spans="1:9" ht="14.5">
      <c r="A690" s="35"/>
      <c r="B690" s="35"/>
      <c r="C690" s="69"/>
      <c r="D690" s="35"/>
      <c r="E690" s="35"/>
      <c r="F690" s="35"/>
      <c r="G690" s="35"/>
      <c r="H690" s="35"/>
      <c r="I690" s="35"/>
    </row>
    <row r="691" spans="1:9" ht="14.5">
      <c r="A691" s="35"/>
      <c r="B691" s="35"/>
      <c r="C691" s="69"/>
      <c r="D691" s="35"/>
      <c r="E691" s="35"/>
      <c r="F691" s="35"/>
      <c r="G691" s="35"/>
      <c r="H691" s="35"/>
      <c r="I691" s="35"/>
    </row>
    <row r="692" spans="1:9" ht="14.5">
      <c r="A692" s="35"/>
      <c r="B692" s="35"/>
      <c r="C692" s="69"/>
      <c r="D692" s="35"/>
      <c r="E692" s="35"/>
      <c r="F692" s="35"/>
      <c r="G692" s="35"/>
      <c r="H692" s="35"/>
      <c r="I692" s="35"/>
    </row>
    <row r="693" spans="1:9" ht="14.5">
      <c r="A693" s="35"/>
      <c r="B693" s="35"/>
      <c r="C693" s="69"/>
      <c r="D693" s="35"/>
      <c r="E693" s="35"/>
      <c r="F693" s="35"/>
      <c r="G693" s="35"/>
      <c r="H693" s="35"/>
      <c r="I693" s="35"/>
    </row>
    <row r="694" spans="1:9" ht="14.5">
      <c r="A694" s="35"/>
      <c r="B694" s="35"/>
      <c r="C694" s="69"/>
      <c r="D694" s="35"/>
      <c r="E694" s="35"/>
      <c r="F694" s="35"/>
      <c r="G694" s="35"/>
      <c r="H694" s="35"/>
      <c r="I694" s="35"/>
    </row>
    <row r="695" spans="1:9" ht="14.5">
      <c r="A695" s="35"/>
      <c r="B695" s="35"/>
      <c r="C695" s="69"/>
      <c r="D695" s="35"/>
      <c r="E695" s="35"/>
      <c r="F695" s="35"/>
      <c r="G695" s="35"/>
      <c r="H695" s="35"/>
      <c r="I695" s="35"/>
    </row>
    <row r="696" spans="1:9" ht="14.5">
      <c r="A696" s="35"/>
      <c r="B696" s="35"/>
      <c r="C696" s="69"/>
      <c r="D696" s="35"/>
      <c r="E696" s="35"/>
      <c r="F696" s="35"/>
      <c r="G696" s="35"/>
      <c r="H696" s="35"/>
      <c r="I696" s="35"/>
    </row>
    <row r="697" spans="1:9" ht="14.5">
      <c r="A697" s="35"/>
      <c r="B697" s="35"/>
      <c r="C697" s="69"/>
      <c r="D697" s="35"/>
      <c r="E697" s="35"/>
      <c r="F697" s="35"/>
      <c r="G697" s="35"/>
      <c r="H697" s="35"/>
      <c r="I697" s="35"/>
    </row>
    <row r="698" spans="1:9" ht="14.5">
      <c r="A698" s="35"/>
      <c r="B698" s="35"/>
      <c r="C698" s="69"/>
      <c r="D698" s="35"/>
      <c r="E698" s="35"/>
      <c r="F698" s="35"/>
      <c r="G698" s="35"/>
      <c r="H698" s="35"/>
      <c r="I698" s="35"/>
    </row>
    <row r="699" spans="1:9" ht="14.5">
      <c r="A699" s="35"/>
      <c r="B699" s="35"/>
      <c r="C699" s="69"/>
      <c r="D699" s="35"/>
      <c r="E699" s="35"/>
      <c r="F699" s="35"/>
      <c r="G699" s="35"/>
      <c r="H699" s="35"/>
      <c r="I699" s="35"/>
    </row>
    <row r="700" spans="1:9" ht="14.5">
      <c r="A700" s="35"/>
      <c r="B700" s="35"/>
      <c r="C700" s="69"/>
      <c r="D700" s="35"/>
      <c r="E700" s="35"/>
      <c r="F700" s="35"/>
      <c r="G700" s="35"/>
      <c r="H700" s="35"/>
      <c r="I700" s="35"/>
    </row>
    <row r="701" spans="1:9" ht="14.5">
      <c r="A701" s="35"/>
      <c r="B701" s="35"/>
      <c r="C701" s="69"/>
      <c r="D701" s="35"/>
      <c r="E701" s="35"/>
      <c r="F701" s="35"/>
      <c r="G701" s="35"/>
      <c r="H701" s="35"/>
      <c r="I701" s="35"/>
    </row>
    <row r="702" spans="1:9" ht="14.5">
      <c r="A702" s="35"/>
      <c r="B702" s="35"/>
      <c r="C702" s="69"/>
      <c r="D702" s="35"/>
      <c r="E702" s="35"/>
      <c r="F702" s="35"/>
      <c r="G702" s="35"/>
      <c r="H702" s="35"/>
      <c r="I702" s="35"/>
    </row>
    <row r="703" spans="1:9" ht="14.5">
      <c r="A703" s="35"/>
      <c r="B703" s="35"/>
      <c r="C703" s="69"/>
      <c r="D703" s="35"/>
      <c r="E703" s="35"/>
      <c r="F703" s="35"/>
      <c r="G703" s="35"/>
      <c r="H703" s="35"/>
      <c r="I703" s="35"/>
    </row>
    <row r="704" spans="1:9" ht="14.5">
      <c r="A704" s="35"/>
      <c r="B704" s="35"/>
      <c r="C704" s="69"/>
      <c r="D704" s="35"/>
      <c r="E704" s="35"/>
      <c r="F704" s="35"/>
      <c r="G704" s="35"/>
      <c r="H704" s="35"/>
      <c r="I704" s="35"/>
    </row>
    <row r="705" spans="1:9" ht="14.5">
      <c r="A705" s="35"/>
      <c r="B705" s="35"/>
      <c r="C705" s="69"/>
      <c r="D705" s="35"/>
      <c r="E705" s="35"/>
      <c r="F705" s="35"/>
      <c r="G705" s="35"/>
      <c r="H705" s="35"/>
      <c r="I705" s="35"/>
    </row>
    <row r="706" spans="1:9" ht="14.5">
      <c r="A706" s="35"/>
      <c r="B706" s="35"/>
      <c r="C706" s="69"/>
      <c r="D706" s="35"/>
      <c r="E706" s="35"/>
      <c r="F706" s="35"/>
      <c r="G706" s="35"/>
      <c r="H706" s="35"/>
      <c r="I706" s="35"/>
    </row>
    <row r="707" spans="1:9" ht="14.5">
      <c r="A707" s="35"/>
      <c r="B707" s="35"/>
      <c r="C707" s="69"/>
      <c r="D707" s="35"/>
      <c r="E707" s="35"/>
      <c r="F707" s="35"/>
      <c r="G707" s="35"/>
      <c r="H707" s="35"/>
      <c r="I707" s="35"/>
    </row>
    <row r="708" spans="1:9" ht="14.5">
      <c r="A708" s="35"/>
      <c r="B708" s="35"/>
      <c r="C708" s="69"/>
      <c r="D708" s="35"/>
      <c r="E708" s="35"/>
      <c r="F708" s="35"/>
      <c r="G708" s="35"/>
      <c r="H708" s="35"/>
      <c r="I708" s="35"/>
    </row>
    <row r="709" spans="1:9" ht="14.5">
      <c r="A709" s="35"/>
      <c r="B709" s="35"/>
      <c r="C709" s="69"/>
      <c r="D709" s="35"/>
      <c r="E709" s="35"/>
      <c r="F709" s="35"/>
      <c r="G709" s="35"/>
      <c r="H709" s="35"/>
      <c r="I709" s="35"/>
    </row>
    <row r="710" spans="1:9" ht="14.5">
      <c r="A710" s="35"/>
      <c r="B710" s="35"/>
      <c r="C710" s="69"/>
      <c r="D710" s="35"/>
      <c r="E710" s="35"/>
      <c r="F710" s="35"/>
      <c r="G710" s="35"/>
      <c r="H710" s="35"/>
      <c r="I710" s="35"/>
    </row>
    <row r="711" spans="1:9" ht="14.5">
      <c r="A711" s="35"/>
      <c r="B711" s="35"/>
      <c r="C711" s="69"/>
      <c r="D711" s="35"/>
      <c r="E711" s="35"/>
      <c r="F711" s="35"/>
      <c r="G711" s="35"/>
      <c r="H711" s="35"/>
      <c r="I711" s="35"/>
    </row>
    <row r="712" spans="1:9" ht="14.5">
      <c r="A712" s="35"/>
      <c r="B712" s="35"/>
      <c r="C712" s="69"/>
      <c r="D712" s="35"/>
      <c r="E712" s="35"/>
      <c r="F712" s="35"/>
      <c r="G712" s="35"/>
      <c r="H712" s="35"/>
      <c r="I712" s="35"/>
    </row>
    <row r="713" spans="1:9" ht="14.5">
      <c r="A713" s="35"/>
      <c r="B713" s="35"/>
      <c r="C713" s="69"/>
      <c r="D713" s="35"/>
      <c r="E713" s="35"/>
      <c r="F713" s="35"/>
      <c r="G713" s="35"/>
      <c r="H713" s="35"/>
      <c r="I713" s="35"/>
    </row>
    <row r="714" spans="1:9" ht="14.5">
      <c r="A714" s="35"/>
      <c r="B714" s="35"/>
      <c r="C714" s="69"/>
      <c r="D714" s="35"/>
      <c r="E714" s="35"/>
      <c r="F714" s="35"/>
      <c r="G714" s="35"/>
      <c r="H714" s="35"/>
      <c r="I714" s="35"/>
    </row>
    <row r="715" spans="1:9" ht="14.5">
      <c r="A715" s="35"/>
      <c r="B715" s="35"/>
      <c r="C715" s="69"/>
      <c r="D715" s="35"/>
      <c r="E715" s="35"/>
      <c r="F715" s="35"/>
      <c r="G715" s="35"/>
      <c r="H715" s="35"/>
      <c r="I715" s="35"/>
    </row>
    <row r="716" spans="1:9" ht="14.5">
      <c r="A716" s="35"/>
      <c r="B716" s="35"/>
      <c r="C716" s="69"/>
      <c r="D716" s="35"/>
      <c r="E716" s="35"/>
      <c r="F716" s="35"/>
      <c r="G716" s="35"/>
      <c r="H716" s="35"/>
      <c r="I716" s="35"/>
    </row>
    <row r="717" spans="1:9" ht="14.5">
      <c r="A717" s="35"/>
      <c r="B717" s="35"/>
      <c r="C717" s="69"/>
      <c r="D717" s="35"/>
      <c r="E717" s="35"/>
      <c r="F717" s="35"/>
      <c r="G717" s="35"/>
      <c r="H717" s="35"/>
      <c r="I717" s="35"/>
    </row>
    <row r="718" spans="1:9" ht="14.5">
      <c r="A718" s="35"/>
      <c r="B718" s="35"/>
      <c r="C718" s="69"/>
      <c r="D718" s="35"/>
      <c r="E718" s="35"/>
      <c r="F718" s="35"/>
      <c r="G718" s="35"/>
      <c r="H718" s="35"/>
      <c r="I718" s="35"/>
    </row>
    <row r="719" spans="1:9" ht="14.5">
      <c r="A719" s="35"/>
      <c r="B719" s="35"/>
      <c r="C719" s="69"/>
      <c r="D719" s="35"/>
      <c r="E719" s="35"/>
      <c r="F719" s="35"/>
      <c r="G719" s="35"/>
      <c r="H719" s="35"/>
      <c r="I719" s="35"/>
    </row>
    <row r="720" spans="1:9" ht="14.5">
      <c r="A720" s="35"/>
      <c r="B720" s="35"/>
      <c r="C720" s="69"/>
      <c r="D720" s="35"/>
      <c r="E720" s="35"/>
      <c r="F720" s="35"/>
      <c r="G720" s="35"/>
      <c r="H720" s="35"/>
      <c r="I720" s="35"/>
    </row>
    <row r="721" spans="1:9" ht="14.5">
      <c r="A721" s="35"/>
      <c r="B721" s="35"/>
      <c r="C721" s="69"/>
      <c r="D721" s="35"/>
      <c r="E721" s="35"/>
      <c r="F721" s="35"/>
      <c r="G721" s="35"/>
      <c r="H721" s="35"/>
      <c r="I721" s="35"/>
    </row>
    <row r="722" spans="1:9" ht="14.5">
      <c r="A722" s="35"/>
      <c r="B722" s="35"/>
      <c r="C722" s="69"/>
      <c r="D722" s="35"/>
      <c r="E722" s="35"/>
      <c r="F722" s="35"/>
      <c r="G722" s="35"/>
      <c r="H722" s="35"/>
      <c r="I722" s="35"/>
    </row>
    <row r="723" spans="1:9" ht="14.5">
      <c r="A723" s="35"/>
      <c r="B723" s="35"/>
      <c r="C723" s="69"/>
      <c r="D723" s="35"/>
      <c r="E723" s="35"/>
      <c r="F723" s="35"/>
      <c r="G723" s="35"/>
      <c r="H723" s="35"/>
      <c r="I723" s="35"/>
    </row>
    <row r="724" spans="1:9" ht="14.5">
      <c r="A724" s="35"/>
      <c r="B724" s="35"/>
      <c r="C724" s="69"/>
      <c r="D724" s="35"/>
      <c r="E724" s="35"/>
      <c r="F724" s="35"/>
      <c r="G724" s="35"/>
      <c r="H724" s="35"/>
      <c r="I724" s="35"/>
    </row>
    <row r="725" spans="1:9" ht="14.5">
      <c r="A725" s="35"/>
      <c r="B725" s="35"/>
      <c r="C725" s="69"/>
      <c r="D725" s="35"/>
      <c r="E725" s="35"/>
      <c r="F725" s="35"/>
      <c r="G725" s="35"/>
      <c r="H725" s="35"/>
      <c r="I725" s="35"/>
    </row>
    <row r="726" spans="1:9" ht="14.5">
      <c r="A726" s="35"/>
      <c r="B726" s="35"/>
      <c r="C726" s="69"/>
      <c r="D726" s="35"/>
      <c r="E726" s="35"/>
      <c r="F726" s="35"/>
      <c r="G726" s="35"/>
      <c r="H726" s="35"/>
      <c r="I726" s="35"/>
    </row>
    <row r="727" spans="1:9" ht="14.5">
      <c r="A727" s="35"/>
      <c r="B727" s="35"/>
      <c r="C727" s="69"/>
      <c r="D727" s="35"/>
      <c r="E727" s="35"/>
      <c r="F727" s="35"/>
      <c r="G727" s="35"/>
      <c r="H727" s="35"/>
      <c r="I727" s="35"/>
    </row>
    <row r="728" spans="1:9" ht="14.5">
      <c r="A728" s="35"/>
      <c r="B728" s="35"/>
      <c r="C728" s="69"/>
      <c r="D728" s="35"/>
      <c r="E728" s="35"/>
      <c r="F728" s="35"/>
      <c r="G728" s="35"/>
      <c r="H728" s="35"/>
      <c r="I728" s="35"/>
    </row>
    <row r="729" spans="1:9" ht="14.5">
      <c r="A729" s="35"/>
      <c r="B729" s="35"/>
      <c r="C729" s="69"/>
      <c r="D729" s="35"/>
      <c r="E729" s="35"/>
      <c r="F729" s="35"/>
      <c r="G729" s="35"/>
      <c r="H729" s="35"/>
      <c r="I729" s="35"/>
    </row>
    <row r="730" spans="1:9" ht="14.5">
      <c r="A730" s="35"/>
      <c r="B730" s="35"/>
      <c r="C730" s="69"/>
      <c r="D730" s="35"/>
      <c r="E730" s="35"/>
      <c r="F730" s="35"/>
      <c r="G730" s="35"/>
      <c r="H730" s="35"/>
      <c r="I730" s="35"/>
    </row>
    <row r="731" spans="1:9" ht="14.5">
      <c r="A731" s="35"/>
      <c r="B731" s="35"/>
      <c r="C731" s="69"/>
      <c r="D731" s="35"/>
      <c r="E731" s="35"/>
      <c r="F731" s="35"/>
      <c r="G731" s="35"/>
      <c r="H731" s="35"/>
      <c r="I731" s="35"/>
    </row>
    <row r="732" spans="1:9" ht="14.5">
      <c r="A732" s="35"/>
      <c r="B732" s="35"/>
      <c r="C732" s="69"/>
      <c r="D732" s="35"/>
      <c r="E732" s="35"/>
      <c r="F732" s="35"/>
      <c r="G732" s="35"/>
      <c r="H732" s="35"/>
      <c r="I732" s="35"/>
    </row>
    <row r="733" spans="1:9" ht="14.5">
      <c r="A733" s="35"/>
      <c r="B733" s="35"/>
      <c r="C733" s="69"/>
      <c r="D733" s="35"/>
      <c r="E733" s="35"/>
      <c r="F733" s="35"/>
      <c r="G733" s="35"/>
      <c r="H733" s="35"/>
      <c r="I733" s="35"/>
    </row>
    <row r="734" spans="1:9" ht="14.5">
      <c r="A734" s="35"/>
      <c r="B734" s="35"/>
      <c r="C734" s="69"/>
      <c r="D734" s="35"/>
      <c r="E734" s="35"/>
      <c r="F734" s="35"/>
      <c r="G734" s="35"/>
      <c r="H734" s="35"/>
      <c r="I734" s="35"/>
    </row>
    <row r="735" spans="1:9" ht="14.5">
      <c r="A735" s="35"/>
      <c r="B735" s="35"/>
      <c r="C735" s="69"/>
      <c r="D735" s="35"/>
      <c r="E735" s="35"/>
      <c r="F735" s="35"/>
      <c r="G735" s="35"/>
      <c r="H735" s="35"/>
      <c r="I735" s="35"/>
    </row>
    <row r="736" spans="1:9" ht="14.5">
      <c r="A736" s="35"/>
      <c r="B736" s="35"/>
      <c r="C736" s="69"/>
      <c r="D736" s="35"/>
      <c r="E736" s="35"/>
      <c r="F736" s="35"/>
      <c r="G736" s="35"/>
      <c r="H736" s="35"/>
      <c r="I736" s="35"/>
    </row>
    <row r="737" spans="1:9" ht="14.5">
      <c r="A737" s="35"/>
      <c r="B737" s="35"/>
      <c r="C737" s="69"/>
      <c r="D737" s="35"/>
      <c r="E737" s="35"/>
      <c r="F737" s="35"/>
      <c r="G737" s="35"/>
      <c r="H737" s="35"/>
      <c r="I737" s="35"/>
    </row>
    <row r="738" spans="1:9" ht="14.5">
      <c r="A738" s="35"/>
      <c r="B738" s="35"/>
      <c r="C738" s="69"/>
      <c r="D738" s="35"/>
      <c r="E738" s="35"/>
      <c r="F738" s="35"/>
      <c r="G738" s="35"/>
      <c r="H738" s="35"/>
      <c r="I738" s="35"/>
    </row>
    <row r="739" spans="1:9" ht="14.5">
      <c r="A739" s="35"/>
      <c r="B739" s="35"/>
      <c r="C739" s="69"/>
      <c r="D739" s="35"/>
      <c r="E739" s="35"/>
      <c r="F739" s="35"/>
      <c r="G739" s="35"/>
      <c r="H739" s="35"/>
      <c r="I739" s="35"/>
    </row>
    <row r="740" spans="1:9" ht="14.5">
      <c r="A740" s="35"/>
      <c r="B740" s="35"/>
      <c r="C740" s="69"/>
      <c r="D740" s="35"/>
      <c r="E740" s="35"/>
      <c r="F740" s="35"/>
      <c r="G740" s="35"/>
      <c r="H740" s="35"/>
      <c r="I740" s="35"/>
    </row>
    <row r="741" spans="1:9" ht="14.5">
      <c r="A741" s="35"/>
      <c r="B741" s="35"/>
      <c r="C741" s="69"/>
      <c r="D741" s="35"/>
      <c r="E741" s="35"/>
      <c r="F741" s="35"/>
      <c r="G741" s="35"/>
      <c r="H741" s="35"/>
      <c r="I741" s="35"/>
    </row>
    <row r="742" spans="1:9" ht="14.5">
      <c r="A742" s="35"/>
      <c r="B742" s="35"/>
      <c r="C742" s="69"/>
      <c r="D742" s="35"/>
      <c r="E742" s="35"/>
      <c r="F742" s="35"/>
      <c r="G742" s="35"/>
      <c r="H742" s="35"/>
      <c r="I742" s="35"/>
    </row>
    <row r="743" spans="1:9" ht="14.5">
      <c r="A743" s="35"/>
      <c r="B743" s="35"/>
      <c r="C743" s="69"/>
      <c r="D743" s="35"/>
      <c r="E743" s="35"/>
      <c r="F743" s="35"/>
      <c r="G743" s="35"/>
      <c r="H743" s="35"/>
      <c r="I743" s="35"/>
    </row>
    <row r="744" spans="1:9" ht="14.5">
      <c r="A744" s="35"/>
      <c r="B744" s="35"/>
      <c r="C744" s="69"/>
      <c r="D744" s="35"/>
      <c r="E744" s="35"/>
      <c r="F744" s="35"/>
      <c r="G744" s="35"/>
      <c r="H744" s="35"/>
      <c r="I744" s="35"/>
    </row>
    <row r="745" spans="1:9" ht="14.5">
      <c r="A745" s="35"/>
      <c r="B745" s="35"/>
      <c r="C745" s="69"/>
      <c r="D745" s="35"/>
      <c r="E745" s="35"/>
      <c r="F745" s="35"/>
      <c r="G745" s="35"/>
      <c r="H745" s="35"/>
      <c r="I745" s="35"/>
    </row>
    <row r="746" spans="1:9" ht="14.5">
      <c r="A746" s="35"/>
      <c r="B746" s="35"/>
      <c r="C746" s="69"/>
      <c r="D746" s="35"/>
      <c r="E746" s="35"/>
      <c r="F746" s="35"/>
      <c r="G746" s="35"/>
      <c r="H746" s="35"/>
      <c r="I746" s="35"/>
    </row>
    <row r="747" spans="1:9" ht="14.5">
      <c r="A747" s="35"/>
      <c r="B747" s="35"/>
      <c r="C747" s="69"/>
      <c r="D747" s="35"/>
      <c r="E747" s="35"/>
      <c r="F747" s="35"/>
      <c r="G747" s="35"/>
      <c r="H747" s="35"/>
      <c r="I747" s="35"/>
    </row>
    <row r="748" spans="1:9" ht="14.5">
      <c r="A748" s="35"/>
      <c r="B748" s="35"/>
      <c r="C748" s="69"/>
      <c r="D748" s="35"/>
      <c r="E748" s="35"/>
      <c r="F748" s="35"/>
      <c r="G748" s="35"/>
      <c r="H748" s="35"/>
      <c r="I748" s="35"/>
    </row>
    <row r="749" spans="1:9" ht="14.5">
      <c r="A749" s="35"/>
      <c r="B749" s="35"/>
      <c r="C749" s="69"/>
      <c r="D749" s="35"/>
      <c r="E749" s="35"/>
      <c r="F749" s="35"/>
      <c r="G749" s="35"/>
      <c r="H749" s="35"/>
      <c r="I749" s="35"/>
    </row>
    <row r="750" spans="1:9" ht="14.5">
      <c r="A750" s="35"/>
      <c r="B750" s="35"/>
      <c r="C750" s="69"/>
      <c r="D750" s="35"/>
      <c r="E750" s="35"/>
      <c r="F750" s="35"/>
      <c r="G750" s="35"/>
      <c r="H750" s="35"/>
      <c r="I750" s="35"/>
    </row>
    <row r="751" spans="1:9" ht="14.5">
      <c r="A751" s="35"/>
      <c r="B751" s="35"/>
      <c r="C751" s="69"/>
      <c r="D751" s="35"/>
      <c r="E751" s="35"/>
      <c r="F751" s="35"/>
      <c r="G751" s="35"/>
      <c r="H751" s="35"/>
      <c r="I751" s="35"/>
    </row>
    <row r="752" spans="1:9" ht="14.5">
      <c r="A752" s="35"/>
      <c r="B752" s="35"/>
      <c r="C752" s="69"/>
      <c r="D752" s="35"/>
      <c r="E752" s="35"/>
      <c r="F752" s="35"/>
      <c r="G752" s="35"/>
      <c r="H752" s="35"/>
      <c r="I752" s="35"/>
    </row>
    <row r="753" spans="1:9" ht="14.5">
      <c r="A753" s="35"/>
      <c r="B753" s="35"/>
      <c r="C753" s="69"/>
      <c r="D753" s="35"/>
      <c r="E753" s="35"/>
      <c r="F753" s="35"/>
      <c r="G753" s="35"/>
      <c r="H753" s="35"/>
      <c r="I753" s="35"/>
    </row>
    <row r="754" spans="1:9" ht="14.5">
      <c r="A754" s="35"/>
      <c r="B754" s="35"/>
      <c r="C754" s="69"/>
      <c r="D754" s="35"/>
      <c r="E754" s="35"/>
      <c r="F754" s="35"/>
      <c r="G754" s="35"/>
      <c r="H754" s="35"/>
      <c r="I754" s="35"/>
    </row>
    <row r="755" spans="1:9" ht="14.5">
      <c r="A755" s="35"/>
      <c r="B755" s="35"/>
      <c r="C755" s="69"/>
      <c r="D755" s="35"/>
      <c r="E755" s="35"/>
      <c r="F755" s="35"/>
      <c r="G755" s="35"/>
      <c r="H755" s="35"/>
      <c r="I755" s="35"/>
    </row>
    <row r="756" spans="1:9" ht="14.5">
      <c r="A756" s="35"/>
      <c r="B756" s="35"/>
      <c r="C756" s="69"/>
      <c r="D756" s="35"/>
      <c r="E756" s="35"/>
      <c r="F756" s="35"/>
      <c r="G756" s="35"/>
      <c r="H756" s="35"/>
      <c r="I756" s="35"/>
    </row>
    <row r="757" spans="1:9" ht="14.5">
      <c r="A757" s="35"/>
      <c r="B757" s="35"/>
      <c r="C757" s="69"/>
      <c r="D757" s="35"/>
      <c r="E757" s="35"/>
      <c r="F757" s="35"/>
      <c r="G757" s="35"/>
      <c r="H757" s="35"/>
      <c r="I757" s="35"/>
    </row>
    <row r="758" spans="1:9" ht="14.5">
      <c r="A758" s="35"/>
      <c r="B758" s="35"/>
      <c r="C758" s="69"/>
      <c r="D758" s="35"/>
      <c r="E758" s="35"/>
      <c r="F758" s="35"/>
      <c r="G758" s="35"/>
      <c r="H758" s="35"/>
      <c r="I758" s="35"/>
    </row>
    <row r="759" spans="1:9" ht="14.5">
      <c r="A759" s="35"/>
      <c r="B759" s="35"/>
      <c r="C759" s="69"/>
      <c r="D759" s="35"/>
      <c r="E759" s="35"/>
      <c r="F759" s="35"/>
      <c r="G759" s="35"/>
      <c r="H759" s="35"/>
      <c r="I759" s="35"/>
    </row>
    <row r="760" spans="1:9" ht="14.5">
      <c r="A760" s="35"/>
      <c r="B760" s="35"/>
      <c r="C760" s="69"/>
      <c r="D760" s="35"/>
      <c r="E760" s="35"/>
      <c r="F760" s="35"/>
      <c r="G760" s="35"/>
      <c r="H760" s="35"/>
      <c r="I760" s="35"/>
    </row>
    <row r="761" spans="1:9" ht="14.5">
      <c r="A761" s="35"/>
      <c r="B761" s="35"/>
      <c r="C761" s="69"/>
      <c r="D761" s="35"/>
      <c r="E761" s="35"/>
      <c r="F761" s="35"/>
      <c r="G761" s="35"/>
      <c r="H761" s="35"/>
      <c r="I761" s="35"/>
    </row>
    <row r="762" spans="1:9" ht="14.5">
      <c r="A762" s="35"/>
      <c r="B762" s="35"/>
      <c r="C762" s="69"/>
      <c r="D762" s="35"/>
      <c r="E762" s="35"/>
      <c r="F762" s="35"/>
      <c r="G762" s="35"/>
      <c r="H762" s="35"/>
      <c r="I762" s="35"/>
    </row>
    <row r="763" spans="1:9" ht="14.5">
      <c r="A763" s="35"/>
      <c r="B763" s="35"/>
      <c r="C763" s="69"/>
      <c r="D763" s="35"/>
      <c r="E763" s="35"/>
      <c r="F763" s="35"/>
      <c r="G763" s="35"/>
      <c r="H763" s="35"/>
      <c r="I763" s="35"/>
    </row>
    <row r="764" spans="1:9" ht="14.5">
      <c r="A764" s="35"/>
      <c r="B764" s="35"/>
      <c r="C764" s="69"/>
      <c r="D764" s="35"/>
      <c r="E764" s="35"/>
      <c r="F764" s="35"/>
      <c r="G764" s="35"/>
      <c r="H764" s="35"/>
      <c r="I764" s="35"/>
    </row>
    <row r="765" spans="1:9" ht="14.5">
      <c r="A765" s="35"/>
      <c r="B765" s="35"/>
      <c r="C765" s="69"/>
      <c r="D765" s="35"/>
      <c r="E765" s="35"/>
      <c r="F765" s="35"/>
      <c r="G765" s="35"/>
      <c r="H765" s="35"/>
      <c r="I765" s="35"/>
    </row>
    <row r="766" spans="1:9" ht="14.5">
      <c r="A766" s="35"/>
      <c r="B766" s="35"/>
      <c r="C766" s="69"/>
      <c r="D766" s="35"/>
      <c r="E766" s="35"/>
      <c r="F766" s="35"/>
      <c r="G766" s="35"/>
      <c r="H766" s="35"/>
      <c r="I766" s="35"/>
    </row>
    <row r="767" spans="1:9" ht="14.5">
      <c r="A767" s="35"/>
      <c r="B767" s="35"/>
      <c r="C767" s="69"/>
      <c r="D767" s="35"/>
      <c r="E767" s="35"/>
      <c r="F767" s="35"/>
      <c r="G767" s="35"/>
      <c r="H767" s="35"/>
      <c r="I767" s="35"/>
    </row>
    <row r="768" spans="1:9" ht="14.5">
      <c r="A768" s="35"/>
      <c r="B768" s="35"/>
      <c r="C768" s="69"/>
      <c r="D768" s="35"/>
      <c r="E768" s="35"/>
      <c r="F768" s="35"/>
      <c r="G768" s="35"/>
      <c r="H768" s="35"/>
      <c r="I768" s="35"/>
    </row>
    <row r="769" spans="1:9" ht="14.5">
      <c r="A769" s="35"/>
      <c r="B769" s="35"/>
      <c r="C769" s="69"/>
      <c r="D769" s="35"/>
      <c r="E769" s="35"/>
      <c r="F769" s="35"/>
      <c r="G769" s="35"/>
      <c r="H769" s="35"/>
      <c r="I769" s="35"/>
    </row>
    <row r="770" spans="1:9" ht="14.5">
      <c r="A770" s="35"/>
      <c r="B770" s="35"/>
      <c r="C770" s="69"/>
      <c r="D770" s="35"/>
      <c r="E770" s="35"/>
      <c r="F770" s="35"/>
      <c r="G770" s="35"/>
      <c r="H770" s="35"/>
      <c r="I770" s="35"/>
    </row>
    <row r="771" spans="1:9" ht="14.5">
      <c r="A771" s="35"/>
      <c r="B771" s="35"/>
      <c r="C771" s="69"/>
      <c r="D771" s="35"/>
      <c r="E771" s="35"/>
      <c r="F771" s="35"/>
      <c r="G771" s="35"/>
      <c r="H771" s="35"/>
      <c r="I771" s="35"/>
    </row>
    <row r="772" spans="1:9" ht="14.5">
      <c r="A772" s="35"/>
      <c r="B772" s="35"/>
      <c r="C772" s="69"/>
      <c r="D772" s="35"/>
      <c r="E772" s="35"/>
      <c r="F772" s="35"/>
      <c r="G772" s="35"/>
      <c r="H772" s="35"/>
      <c r="I772" s="35"/>
    </row>
    <row r="773" spans="1:9" ht="14.5">
      <c r="A773" s="35"/>
      <c r="B773" s="35"/>
      <c r="C773" s="69"/>
      <c r="D773" s="35"/>
      <c r="E773" s="35"/>
      <c r="F773" s="35"/>
      <c r="G773" s="35"/>
      <c r="H773" s="35"/>
      <c r="I773" s="35"/>
    </row>
    <row r="774" spans="1:9" ht="14.5">
      <c r="A774" s="35"/>
      <c r="B774" s="35"/>
      <c r="C774" s="69"/>
      <c r="D774" s="35"/>
      <c r="E774" s="35"/>
      <c r="F774" s="35"/>
      <c r="G774" s="35"/>
      <c r="H774" s="35"/>
      <c r="I774" s="35"/>
    </row>
    <row r="775" spans="1:9" ht="14.5">
      <c r="A775" s="35"/>
      <c r="B775" s="35"/>
      <c r="C775" s="69"/>
      <c r="D775" s="35"/>
      <c r="E775" s="35"/>
      <c r="F775" s="35"/>
      <c r="G775" s="35"/>
      <c r="H775" s="35"/>
      <c r="I775" s="35"/>
    </row>
    <row r="776" spans="1:9" ht="14.5">
      <c r="A776" s="35"/>
      <c r="B776" s="35"/>
      <c r="C776" s="69"/>
      <c r="D776" s="35"/>
      <c r="E776" s="35"/>
      <c r="F776" s="35"/>
      <c r="G776" s="35"/>
      <c r="H776" s="35"/>
      <c r="I776" s="35"/>
    </row>
    <row r="777" spans="1:9" ht="14.5">
      <c r="A777" s="35"/>
      <c r="B777" s="35"/>
      <c r="C777" s="69"/>
      <c r="D777" s="35"/>
      <c r="E777" s="35"/>
      <c r="F777" s="35"/>
      <c r="G777" s="35"/>
      <c r="H777" s="35"/>
      <c r="I777" s="35"/>
    </row>
    <row r="778" spans="1:9" ht="14.5">
      <c r="A778" s="35"/>
      <c r="B778" s="35"/>
      <c r="C778" s="69"/>
      <c r="D778" s="35"/>
      <c r="E778" s="35"/>
      <c r="F778" s="35"/>
      <c r="G778" s="35"/>
      <c r="H778" s="35"/>
      <c r="I778" s="35"/>
    </row>
    <row r="779" spans="1:9" ht="14.5">
      <c r="A779" s="35"/>
      <c r="B779" s="35"/>
      <c r="C779" s="69"/>
      <c r="D779" s="35"/>
      <c r="E779" s="35"/>
      <c r="F779" s="35"/>
      <c r="G779" s="35"/>
      <c r="H779" s="35"/>
      <c r="I779" s="35"/>
    </row>
    <row r="780" spans="1:9" ht="14.5">
      <c r="A780" s="35"/>
      <c r="B780" s="35"/>
      <c r="C780" s="69"/>
      <c r="D780" s="35"/>
      <c r="E780" s="35"/>
      <c r="F780" s="35"/>
      <c r="G780" s="35"/>
      <c r="H780" s="35"/>
      <c r="I780" s="35"/>
    </row>
    <row r="781" spans="1:9" ht="14.5">
      <c r="A781" s="35"/>
      <c r="B781" s="35"/>
      <c r="C781" s="69"/>
      <c r="D781" s="35"/>
      <c r="E781" s="35"/>
      <c r="F781" s="35"/>
      <c r="G781" s="35"/>
      <c r="H781" s="35"/>
      <c r="I781" s="35"/>
    </row>
    <row r="782" spans="1:9" ht="14.5">
      <c r="A782" s="35"/>
      <c r="B782" s="35"/>
      <c r="C782" s="69"/>
      <c r="D782" s="35"/>
      <c r="E782" s="35"/>
      <c r="F782" s="35"/>
      <c r="G782" s="35"/>
      <c r="H782" s="35"/>
      <c r="I782" s="35"/>
    </row>
    <row r="783" spans="1:9" ht="14.5">
      <c r="A783" s="35"/>
      <c r="B783" s="35"/>
      <c r="C783" s="69"/>
      <c r="D783" s="35"/>
      <c r="E783" s="35"/>
      <c r="F783" s="35"/>
      <c r="G783" s="35"/>
      <c r="H783" s="35"/>
      <c r="I783" s="35"/>
    </row>
    <row r="784" spans="1:9" ht="14.5">
      <c r="A784" s="35"/>
      <c r="B784" s="35"/>
      <c r="C784" s="69"/>
      <c r="D784" s="35"/>
      <c r="E784" s="35"/>
      <c r="F784" s="35"/>
      <c r="G784" s="35"/>
      <c r="H784" s="35"/>
      <c r="I784" s="35"/>
    </row>
    <row r="785" spans="1:9" ht="14.5">
      <c r="A785" s="35"/>
      <c r="B785" s="35"/>
      <c r="C785" s="69"/>
      <c r="D785" s="35"/>
      <c r="E785" s="35"/>
      <c r="F785" s="35"/>
      <c r="G785" s="35"/>
      <c r="H785" s="35"/>
      <c r="I785" s="35"/>
    </row>
    <row r="786" spans="1:9" ht="14.5">
      <c r="A786" s="35"/>
      <c r="B786" s="35"/>
      <c r="C786" s="69"/>
      <c r="D786" s="35"/>
      <c r="E786" s="35"/>
      <c r="F786" s="35"/>
      <c r="G786" s="35"/>
      <c r="H786" s="35"/>
      <c r="I786" s="35"/>
    </row>
    <row r="787" spans="1:9" ht="14.5">
      <c r="A787" s="35"/>
      <c r="B787" s="35"/>
      <c r="C787" s="69"/>
      <c r="D787" s="35"/>
      <c r="E787" s="35"/>
      <c r="F787" s="35"/>
      <c r="G787" s="35"/>
      <c r="H787" s="35"/>
      <c r="I787" s="35"/>
    </row>
    <row r="788" spans="1:9" ht="14.5">
      <c r="A788" s="35"/>
      <c r="B788" s="35"/>
      <c r="C788" s="69"/>
      <c r="D788" s="35"/>
      <c r="E788" s="35"/>
      <c r="F788" s="35"/>
      <c r="G788" s="35"/>
      <c r="H788" s="35"/>
      <c r="I788" s="35"/>
    </row>
    <row r="789" spans="1:9" ht="14.5">
      <c r="A789" s="35"/>
      <c r="B789" s="35"/>
      <c r="C789" s="69"/>
      <c r="D789" s="35"/>
      <c r="E789" s="35"/>
      <c r="F789" s="35"/>
      <c r="G789" s="35"/>
      <c r="H789" s="35"/>
      <c r="I789" s="35"/>
    </row>
    <row r="790" spans="1:9" ht="14.5">
      <c r="A790" s="35"/>
      <c r="B790" s="35"/>
      <c r="C790" s="69"/>
      <c r="D790" s="35"/>
      <c r="E790" s="35"/>
      <c r="F790" s="35"/>
      <c r="G790" s="35"/>
      <c r="H790" s="35"/>
      <c r="I790" s="35"/>
    </row>
    <row r="791" spans="1:9" ht="14.5">
      <c r="A791" s="35"/>
      <c r="B791" s="35"/>
      <c r="C791" s="69"/>
      <c r="D791" s="35"/>
      <c r="E791" s="35"/>
      <c r="F791" s="35"/>
      <c r="G791" s="35"/>
      <c r="H791" s="35"/>
      <c r="I791" s="35"/>
    </row>
    <row r="792" spans="1:9" ht="14.5">
      <c r="A792" s="35"/>
      <c r="B792" s="35"/>
      <c r="C792" s="69"/>
      <c r="D792" s="35"/>
      <c r="E792" s="35"/>
      <c r="F792" s="35"/>
      <c r="G792" s="35"/>
      <c r="H792" s="35"/>
      <c r="I792" s="35"/>
    </row>
    <row r="793" spans="1:9" ht="14.5">
      <c r="A793" s="35"/>
      <c r="B793" s="35"/>
      <c r="C793" s="69"/>
      <c r="D793" s="35"/>
      <c r="E793" s="35"/>
      <c r="F793" s="35"/>
      <c r="G793" s="35"/>
      <c r="H793" s="35"/>
      <c r="I793" s="35"/>
    </row>
    <row r="794" spans="1:9" ht="14.5">
      <c r="A794" s="35"/>
      <c r="B794" s="35"/>
      <c r="C794" s="69"/>
      <c r="D794" s="35"/>
      <c r="E794" s="35"/>
      <c r="F794" s="35"/>
      <c r="G794" s="35"/>
      <c r="H794" s="35"/>
      <c r="I794" s="35"/>
    </row>
    <row r="795" spans="1:9" ht="14.5">
      <c r="A795" s="35"/>
      <c r="B795" s="35"/>
      <c r="C795" s="69"/>
      <c r="D795" s="35"/>
      <c r="E795" s="35"/>
      <c r="F795" s="35"/>
      <c r="G795" s="35"/>
      <c r="H795" s="35"/>
      <c r="I795" s="35"/>
    </row>
    <row r="796" spans="1:9" ht="14.5">
      <c r="A796" s="35"/>
      <c r="B796" s="35"/>
      <c r="C796" s="69"/>
      <c r="D796" s="35"/>
      <c r="E796" s="35"/>
      <c r="F796" s="35"/>
      <c r="G796" s="35"/>
      <c r="H796" s="35"/>
      <c r="I796" s="35"/>
    </row>
    <row r="797" spans="1:9" ht="14.5">
      <c r="A797" s="35"/>
      <c r="B797" s="35"/>
      <c r="C797" s="69"/>
      <c r="D797" s="35"/>
      <c r="E797" s="35"/>
      <c r="F797" s="35"/>
      <c r="G797" s="35"/>
      <c r="H797" s="35"/>
      <c r="I797" s="35"/>
    </row>
    <row r="798" spans="1:9" ht="14.5">
      <c r="A798" s="35"/>
      <c r="B798" s="35"/>
      <c r="C798" s="69"/>
      <c r="D798" s="35"/>
      <c r="E798" s="35"/>
      <c r="F798" s="35"/>
      <c r="G798" s="35"/>
      <c r="H798" s="35"/>
      <c r="I798" s="35"/>
    </row>
    <row r="799" spans="1:9" ht="14.5">
      <c r="A799" s="35"/>
      <c r="B799" s="35"/>
      <c r="C799" s="69"/>
      <c r="D799" s="35"/>
      <c r="E799" s="35"/>
      <c r="F799" s="35"/>
      <c r="G799" s="35"/>
      <c r="H799" s="35"/>
      <c r="I799" s="35"/>
    </row>
    <row r="800" spans="1:9" ht="14.5">
      <c r="A800" s="35"/>
      <c r="B800" s="35"/>
      <c r="C800" s="69"/>
      <c r="D800" s="35"/>
      <c r="E800" s="35"/>
      <c r="F800" s="35"/>
      <c r="G800" s="35"/>
      <c r="H800" s="35"/>
      <c r="I800" s="35"/>
    </row>
    <row r="801" spans="1:9" ht="14.5">
      <c r="A801" s="35"/>
      <c r="B801" s="35"/>
      <c r="C801" s="69"/>
      <c r="D801" s="35"/>
      <c r="E801" s="35"/>
      <c r="F801" s="35"/>
      <c r="G801" s="35"/>
      <c r="H801" s="35"/>
      <c r="I801" s="35"/>
    </row>
    <row r="802" spans="1:9" ht="14.5">
      <c r="A802" s="35"/>
      <c r="B802" s="35"/>
      <c r="C802" s="69"/>
      <c r="D802" s="35"/>
      <c r="E802" s="35"/>
      <c r="F802" s="35"/>
      <c r="G802" s="35"/>
      <c r="H802" s="35"/>
      <c r="I802" s="35"/>
    </row>
    <row r="803" spans="1:9" ht="14.5">
      <c r="A803" s="35"/>
      <c r="B803" s="35"/>
      <c r="C803" s="69"/>
      <c r="D803" s="35"/>
      <c r="E803" s="35"/>
      <c r="F803" s="35"/>
      <c r="G803" s="35"/>
      <c r="H803" s="35"/>
      <c r="I803" s="35"/>
    </row>
    <row r="804" spans="1:9" ht="14.5">
      <c r="A804" s="35"/>
      <c r="B804" s="35"/>
      <c r="C804" s="69"/>
      <c r="D804" s="35"/>
      <c r="E804" s="35"/>
      <c r="F804" s="35"/>
      <c r="G804" s="35"/>
      <c r="H804" s="35"/>
      <c r="I804" s="35"/>
    </row>
    <row r="805" spans="1:9" ht="14.5">
      <c r="A805" s="35"/>
      <c r="B805" s="35"/>
      <c r="C805" s="69"/>
      <c r="D805" s="35"/>
      <c r="E805" s="35"/>
      <c r="F805" s="35"/>
      <c r="G805" s="35"/>
      <c r="H805" s="35"/>
      <c r="I805" s="35"/>
    </row>
    <row r="806" spans="1:9" ht="14.5">
      <c r="A806" s="35"/>
      <c r="B806" s="35"/>
      <c r="C806" s="69"/>
      <c r="D806" s="35"/>
      <c r="E806" s="35"/>
      <c r="F806" s="35"/>
      <c r="G806" s="35"/>
      <c r="H806" s="35"/>
      <c r="I806" s="35"/>
    </row>
    <row r="807" spans="1:9" ht="14.5">
      <c r="A807" s="35"/>
      <c r="B807" s="35"/>
      <c r="C807" s="69"/>
      <c r="D807" s="35"/>
      <c r="E807" s="35"/>
      <c r="F807" s="35"/>
      <c r="G807" s="35"/>
      <c r="H807" s="35"/>
      <c r="I807" s="35"/>
    </row>
    <row r="808" spans="1:9" ht="14.5">
      <c r="A808" s="35"/>
      <c r="B808" s="35"/>
      <c r="C808" s="69"/>
      <c r="D808" s="35"/>
      <c r="E808" s="35"/>
      <c r="F808" s="35"/>
      <c r="G808" s="35"/>
      <c r="H808" s="35"/>
      <c r="I808" s="35"/>
    </row>
    <row r="809" spans="1:9" ht="14.5">
      <c r="A809" s="35"/>
      <c r="B809" s="35"/>
      <c r="C809" s="69"/>
      <c r="D809" s="35"/>
      <c r="E809" s="35"/>
      <c r="F809" s="35"/>
      <c r="G809" s="35"/>
      <c r="H809" s="35"/>
      <c r="I809" s="35"/>
    </row>
    <row r="810" spans="1:9" ht="14.5">
      <c r="A810" s="35"/>
      <c r="B810" s="35"/>
      <c r="C810" s="69"/>
      <c r="D810" s="35"/>
      <c r="E810" s="35"/>
      <c r="F810" s="35"/>
      <c r="G810" s="35"/>
      <c r="H810" s="35"/>
      <c r="I810" s="35"/>
    </row>
    <row r="811" spans="1:9" ht="14.5">
      <c r="A811" s="35"/>
      <c r="B811" s="35"/>
      <c r="C811" s="69"/>
      <c r="D811" s="35"/>
      <c r="E811" s="35"/>
      <c r="F811" s="35"/>
      <c r="G811" s="35"/>
      <c r="H811" s="35"/>
      <c r="I811" s="35"/>
    </row>
    <row r="812" spans="1:9" ht="14.5">
      <c r="A812" s="35"/>
      <c r="B812" s="35"/>
      <c r="C812" s="69"/>
      <c r="D812" s="35"/>
      <c r="E812" s="35"/>
      <c r="F812" s="35"/>
      <c r="G812" s="35"/>
      <c r="H812" s="35"/>
      <c r="I812" s="35"/>
    </row>
    <row r="813" spans="1:9" ht="14.5">
      <c r="A813" s="35"/>
      <c r="B813" s="35"/>
      <c r="C813" s="69"/>
      <c r="D813" s="35"/>
      <c r="E813" s="35"/>
      <c r="F813" s="35"/>
      <c r="G813" s="35"/>
      <c r="H813" s="35"/>
      <c r="I813" s="35"/>
    </row>
    <row r="814" spans="1:9" ht="14.5">
      <c r="A814" s="35"/>
      <c r="B814" s="35"/>
      <c r="C814" s="69"/>
      <c r="D814" s="35"/>
      <c r="E814" s="35"/>
      <c r="F814" s="35"/>
      <c r="G814" s="35"/>
      <c r="H814" s="35"/>
      <c r="I814" s="35"/>
    </row>
    <row r="815" spans="1:9" ht="14.5">
      <c r="A815" s="35"/>
      <c r="B815" s="35"/>
      <c r="C815" s="69"/>
      <c r="D815" s="35"/>
      <c r="E815" s="35"/>
      <c r="F815" s="35"/>
      <c r="G815" s="35"/>
      <c r="H815" s="35"/>
      <c r="I815" s="35"/>
    </row>
    <row r="816" spans="1:9" ht="14.5">
      <c r="A816" s="35"/>
      <c r="B816" s="35"/>
      <c r="C816" s="69"/>
      <c r="D816" s="35"/>
      <c r="E816" s="35"/>
      <c r="F816" s="35"/>
      <c r="G816" s="35"/>
      <c r="H816" s="35"/>
      <c r="I816" s="35"/>
    </row>
    <row r="817" spans="1:9" ht="14.5">
      <c r="A817" s="35"/>
      <c r="B817" s="35"/>
      <c r="C817" s="69"/>
      <c r="D817" s="35"/>
      <c r="E817" s="35"/>
      <c r="F817" s="35"/>
      <c r="G817" s="35"/>
      <c r="H817" s="35"/>
      <c r="I817" s="35"/>
    </row>
    <row r="818" spans="1:9" ht="14.5">
      <c r="A818" s="35"/>
      <c r="B818" s="35"/>
      <c r="C818" s="69"/>
      <c r="D818" s="35"/>
      <c r="E818" s="35"/>
      <c r="F818" s="35"/>
      <c r="G818" s="35"/>
      <c r="H818" s="35"/>
      <c r="I818" s="35"/>
    </row>
    <row r="819" spans="1:9" ht="14.5">
      <c r="A819" s="35"/>
      <c r="B819" s="35"/>
      <c r="C819" s="69"/>
      <c r="D819" s="35"/>
      <c r="E819" s="35"/>
      <c r="F819" s="35"/>
      <c r="G819" s="35"/>
      <c r="H819" s="35"/>
      <c r="I819" s="35"/>
    </row>
    <row r="820" spans="1:9" ht="14.5">
      <c r="A820" s="35"/>
      <c r="B820" s="35"/>
      <c r="C820" s="69"/>
      <c r="D820" s="35"/>
      <c r="E820" s="35"/>
      <c r="F820" s="35"/>
      <c r="G820" s="35"/>
      <c r="H820" s="35"/>
      <c r="I820" s="35"/>
    </row>
    <row r="821" spans="1:9" ht="14.5">
      <c r="A821" s="35"/>
      <c r="B821" s="35"/>
      <c r="C821" s="69"/>
      <c r="D821" s="35"/>
      <c r="E821" s="35"/>
      <c r="F821" s="35"/>
      <c r="G821" s="35"/>
      <c r="H821" s="35"/>
      <c r="I821" s="35"/>
    </row>
    <row r="822" spans="1:9" ht="14.5">
      <c r="A822" s="35"/>
      <c r="B822" s="35"/>
      <c r="C822" s="69"/>
      <c r="D822" s="35"/>
      <c r="E822" s="35"/>
      <c r="F822" s="35"/>
      <c r="G822" s="35"/>
      <c r="H822" s="35"/>
      <c r="I822" s="35"/>
    </row>
    <row r="823" spans="1:9" ht="14.5">
      <c r="A823" s="35"/>
      <c r="B823" s="35"/>
      <c r="C823" s="69"/>
      <c r="D823" s="35"/>
      <c r="E823" s="35"/>
      <c r="F823" s="35"/>
      <c r="G823" s="35"/>
      <c r="H823" s="35"/>
      <c r="I823" s="35"/>
    </row>
    <row r="824" spans="1:9" ht="14.5">
      <c r="A824" s="35"/>
      <c r="B824" s="35"/>
      <c r="C824" s="69"/>
      <c r="D824" s="35"/>
      <c r="E824" s="35"/>
      <c r="F824" s="35"/>
      <c r="G824" s="35"/>
      <c r="H824" s="35"/>
      <c r="I824" s="35"/>
    </row>
    <row r="825" spans="1:9" ht="14.5">
      <c r="A825" s="35"/>
      <c r="B825" s="35"/>
      <c r="C825" s="69"/>
      <c r="D825" s="35"/>
      <c r="E825" s="35"/>
      <c r="F825" s="35"/>
      <c r="G825" s="35"/>
      <c r="H825" s="35"/>
      <c r="I825" s="35"/>
    </row>
    <row r="826" spans="1:9" ht="14.5">
      <c r="A826" s="35"/>
      <c r="B826" s="35"/>
      <c r="C826" s="69"/>
      <c r="D826" s="35"/>
      <c r="E826" s="35"/>
      <c r="F826" s="35"/>
      <c r="G826" s="35"/>
      <c r="H826" s="35"/>
      <c r="I826" s="35"/>
    </row>
    <row r="827" spans="1:9" ht="14.5">
      <c r="A827" s="35"/>
      <c r="B827" s="35"/>
      <c r="C827" s="69"/>
      <c r="D827" s="35"/>
      <c r="E827" s="35"/>
      <c r="F827" s="35"/>
      <c r="G827" s="35"/>
      <c r="H827" s="35"/>
      <c r="I827" s="35"/>
    </row>
    <row r="828" spans="1:9" ht="14.5">
      <c r="A828" s="35"/>
      <c r="B828" s="35"/>
      <c r="C828" s="69"/>
      <c r="D828" s="35"/>
      <c r="E828" s="35"/>
      <c r="F828" s="35"/>
      <c r="G828" s="35"/>
      <c r="H828" s="35"/>
      <c r="I828" s="35"/>
    </row>
    <row r="829" spans="1:9" ht="14.5">
      <c r="A829" s="35"/>
      <c r="B829" s="35"/>
      <c r="C829" s="69"/>
      <c r="D829" s="35"/>
      <c r="E829" s="35"/>
      <c r="F829" s="35"/>
      <c r="G829" s="35"/>
      <c r="H829" s="35"/>
      <c r="I829" s="35"/>
    </row>
    <row r="830" spans="1:9" ht="14.5">
      <c r="A830" s="35"/>
      <c r="B830" s="35"/>
      <c r="C830" s="69"/>
      <c r="D830" s="35"/>
      <c r="E830" s="35"/>
      <c r="F830" s="35"/>
      <c r="G830" s="35"/>
      <c r="H830" s="35"/>
      <c r="I830" s="35"/>
    </row>
    <row r="831" spans="1:9" ht="14.5">
      <c r="A831" s="35"/>
      <c r="B831" s="35"/>
      <c r="C831" s="69"/>
      <c r="D831" s="35"/>
      <c r="E831" s="35"/>
      <c r="F831" s="35"/>
      <c r="G831" s="35"/>
      <c r="H831" s="35"/>
      <c r="I831" s="35"/>
    </row>
    <row r="832" spans="1:9" ht="14.5">
      <c r="A832" s="35"/>
      <c r="B832" s="35"/>
      <c r="C832" s="69"/>
      <c r="D832" s="35"/>
      <c r="E832" s="35"/>
      <c r="F832" s="35"/>
      <c r="G832" s="35"/>
      <c r="H832" s="35"/>
      <c r="I832" s="35"/>
    </row>
    <row r="833" spans="1:9" ht="14.5">
      <c r="A833" s="35"/>
      <c r="B833" s="35"/>
      <c r="C833" s="69"/>
      <c r="D833" s="35"/>
      <c r="E833" s="35"/>
      <c r="F833" s="35"/>
      <c r="G833" s="35"/>
      <c r="H833" s="35"/>
      <c r="I833" s="35"/>
    </row>
    <row r="834" spans="1:9" ht="14.5">
      <c r="A834" s="35"/>
      <c r="B834" s="35"/>
      <c r="C834" s="69"/>
      <c r="D834" s="35"/>
      <c r="E834" s="35"/>
      <c r="F834" s="35"/>
      <c r="G834" s="35"/>
      <c r="H834" s="35"/>
      <c r="I834" s="35"/>
    </row>
    <row r="835" spans="1:9" ht="14.5">
      <c r="A835" s="35"/>
      <c r="B835" s="35"/>
      <c r="C835" s="69"/>
      <c r="D835" s="35"/>
      <c r="E835" s="35"/>
      <c r="F835" s="35"/>
      <c r="G835" s="35"/>
      <c r="H835" s="35"/>
      <c r="I835" s="35"/>
    </row>
    <row r="836" spans="1:9" ht="14.5">
      <c r="A836" s="35"/>
      <c r="B836" s="35"/>
      <c r="C836" s="69"/>
      <c r="D836" s="35"/>
      <c r="E836" s="35"/>
      <c r="F836" s="35"/>
      <c r="G836" s="35"/>
      <c r="H836" s="35"/>
      <c r="I836" s="35"/>
    </row>
    <row r="837" spans="1:9" ht="14.5">
      <c r="A837" s="35"/>
      <c r="B837" s="35"/>
      <c r="C837" s="69"/>
      <c r="D837" s="35"/>
      <c r="E837" s="35"/>
      <c r="F837" s="35"/>
      <c r="G837" s="35"/>
      <c r="H837" s="35"/>
      <c r="I837" s="35"/>
    </row>
    <row r="838" spans="1:9" ht="14.5">
      <c r="A838" s="35"/>
      <c r="B838" s="35"/>
      <c r="C838" s="69"/>
      <c r="D838" s="35"/>
      <c r="E838" s="35"/>
      <c r="F838" s="35"/>
      <c r="G838" s="35"/>
      <c r="H838" s="35"/>
      <c r="I838" s="35"/>
    </row>
    <row r="839" spans="1:9" ht="14.5">
      <c r="A839" s="35"/>
      <c r="B839" s="35"/>
      <c r="C839" s="69"/>
      <c r="D839" s="35"/>
      <c r="E839" s="35"/>
      <c r="F839" s="35"/>
      <c r="G839" s="35"/>
      <c r="H839" s="35"/>
      <c r="I839" s="35"/>
    </row>
    <row r="840" spans="1:9" ht="14.5">
      <c r="A840" s="35"/>
      <c r="B840" s="35"/>
      <c r="C840" s="69"/>
      <c r="D840" s="35"/>
      <c r="E840" s="35"/>
      <c r="F840" s="35"/>
      <c r="G840" s="35"/>
      <c r="H840" s="35"/>
      <c r="I840" s="35"/>
    </row>
    <row r="841" spans="1:9" ht="14.5">
      <c r="A841" s="35"/>
      <c r="B841" s="35"/>
      <c r="C841" s="69"/>
      <c r="D841" s="35"/>
      <c r="E841" s="35"/>
      <c r="F841" s="35"/>
      <c r="G841" s="35"/>
      <c r="H841" s="35"/>
      <c r="I841" s="35"/>
    </row>
    <row r="842" spans="1:9" ht="14.5">
      <c r="A842" s="35"/>
      <c r="B842" s="35"/>
      <c r="C842" s="69"/>
      <c r="D842" s="35"/>
      <c r="E842" s="35"/>
      <c r="F842" s="35"/>
      <c r="G842" s="35"/>
      <c r="H842" s="35"/>
      <c r="I842" s="35"/>
    </row>
    <row r="843" spans="1:9" ht="14.5">
      <c r="A843" s="35"/>
      <c r="B843" s="35"/>
      <c r="C843" s="69"/>
      <c r="D843" s="35"/>
      <c r="E843" s="35"/>
      <c r="F843" s="35"/>
      <c r="G843" s="35"/>
      <c r="H843" s="35"/>
      <c r="I843" s="35"/>
    </row>
    <row r="844" spans="1:9" ht="14.5">
      <c r="A844" s="35"/>
      <c r="B844" s="35"/>
      <c r="C844" s="69"/>
      <c r="D844" s="35"/>
      <c r="E844" s="35"/>
      <c r="F844" s="35"/>
      <c r="G844" s="35"/>
      <c r="H844" s="35"/>
      <c r="I844" s="35"/>
    </row>
    <row r="845" spans="1:9" ht="14.5">
      <c r="A845" s="35"/>
      <c r="B845" s="35"/>
      <c r="C845" s="69"/>
      <c r="D845" s="35"/>
      <c r="E845" s="35"/>
      <c r="F845" s="35"/>
      <c r="G845" s="35"/>
      <c r="H845" s="35"/>
      <c r="I845" s="35"/>
    </row>
    <row r="846" spans="1:9" ht="14.5">
      <c r="A846" s="35"/>
      <c r="B846" s="35"/>
      <c r="C846" s="69"/>
      <c r="D846" s="35"/>
      <c r="E846" s="35"/>
      <c r="F846" s="35"/>
      <c r="G846" s="35"/>
      <c r="H846" s="35"/>
      <c r="I846" s="35"/>
    </row>
    <row r="847" spans="1:9" ht="14.5">
      <c r="A847" s="35"/>
      <c r="B847" s="35"/>
      <c r="C847" s="69"/>
      <c r="D847" s="35"/>
      <c r="E847" s="35"/>
      <c r="F847" s="35"/>
      <c r="G847" s="35"/>
      <c r="H847" s="35"/>
      <c r="I847" s="35"/>
    </row>
    <row r="848" spans="1:9" ht="14.5">
      <c r="A848" s="35"/>
      <c r="B848" s="35"/>
      <c r="C848" s="69"/>
      <c r="D848" s="35"/>
      <c r="E848" s="35"/>
      <c r="F848" s="35"/>
      <c r="G848" s="35"/>
      <c r="H848" s="35"/>
      <c r="I848" s="35"/>
    </row>
    <row r="849" spans="1:9" ht="14.5">
      <c r="A849" s="35"/>
      <c r="B849" s="35"/>
      <c r="C849" s="69"/>
      <c r="D849" s="35"/>
      <c r="E849" s="35"/>
      <c r="F849" s="35"/>
      <c r="G849" s="35"/>
      <c r="H849" s="35"/>
      <c r="I849" s="35"/>
    </row>
    <row r="850" spans="1:9" ht="14.5">
      <c r="A850" s="35"/>
      <c r="B850" s="35"/>
      <c r="C850" s="69"/>
      <c r="D850" s="35"/>
      <c r="E850" s="35"/>
      <c r="F850" s="35"/>
      <c r="G850" s="35"/>
      <c r="H850" s="35"/>
      <c r="I850" s="35"/>
    </row>
    <row r="851" spans="1:9" ht="14.5">
      <c r="A851" s="35"/>
      <c r="B851" s="35"/>
      <c r="C851" s="69"/>
      <c r="D851" s="35"/>
      <c r="E851" s="35"/>
      <c r="F851" s="35"/>
      <c r="G851" s="35"/>
      <c r="H851" s="35"/>
      <c r="I851" s="35"/>
    </row>
    <row r="852" spans="1:9" ht="14.5">
      <c r="A852" s="35"/>
      <c r="B852" s="35"/>
      <c r="C852" s="69"/>
      <c r="D852" s="35"/>
      <c r="E852" s="35"/>
      <c r="F852" s="35"/>
      <c r="G852" s="35"/>
      <c r="H852" s="35"/>
      <c r="I852" s="35"/>
    </row>
    <row r="853" spans="1:9" ht="14.5">
      <c r="A853" s="35"/>
      <c r="B853" s="35"/>
      <c r="C853" s="69"/>
      <c r="D853" s="35"/>
      <c r="E853" s="35"/>
      <c r="F853" s="35"/>
      <c r="G853" s="35"/>
      <c r="H853" s="35"/>
      <c r="I853" s="35"/>
    </row>
    <row r="854" spans="1:9" ht="14.5">
      <c r="A854" s="35"/>
      <c r="B854" s="35"/>
      <c r="C854" s="69"/>
      <c r="D854" s="35"/>
      <c r="E854" s="35"/>
      <c r="F854" s="35"/>
      <c r="G854" s="35"/>
      <c r="H854" s="35"/>
      <c r="I854" s="35"/>
    </row>
    <row r="855" spans="1:9" ht="14.5">
      <c r="A855" s="35"/>
      <c r="B855" s="35"/>
      <c r="C855" s="69"/>
      <c r="D855" s="35"/>
      <c r="E855" s="35"/>
      <c r="F855" s="35"/>
      <c r="G855" s="35"/>
      <c r="H855" s="35"/>
      <c r="I855" s="35"/>
    </row>
    <row r="856" spans="1:9" ht="14.5">
      <c r="A856" s="35"/>
      <c r="B856" s="35"/>
      <c r="C856" s="69"/>
      <c r="D856" s="35"/>
      <c r="E856" s="35"/>
      <c r="F856" s="35"/>
      <c r="G856" s="35"/>
      <c r="H856" s="35"/>
      <c r="I856" s="35"/>
    </row>
    <row r="857" spans="1:9" ht="14.5">
      <c r="A857" s="35"/>
      <c r="B857" s="35"/>
      <c r="C857" s="69"/>
      <c r="D857" s="35"/>
      <c r="E857" s="35"/>
      <c r="F857" s="35"/>
      <c r="G857" s="35"/>
      <c r="H857" s="35"/>
      <c r="I857" s="35"/>
    </row>
    <row r="858" spans="1:9" ht="14.5">
      <c r="A858" s="35"/>
      <c r="B858" s="35"/>
      <c r="C858" s="69"/>
      <c r="D858" s="35"/>
      <c r="E858" s="35"/>
      <c r="F858" s="35"/>
      <c r="G858" s="35"/>
      <c r="H858" s="35"/>
      <c r="I858" s="35"/>
    </row>
    <row r="859" spans="1:9" ht="14.5">
      <c r="A859" s="35"/>
      <c r="B859" s="35"/>
      <c r="C859" s="69"/>
      <c r="D859" s="35"/>
      <c r="E859" s="35"/>
      <c r="F859" s="35"/>
      <c r="G859" s="35"/>
      <c r="H859" s="35"/>
      <c r="I859" s="35"/>
    </row>
    <row r="860" spans="1:9" ht="14.5">
      <c r="A860" s="35"/>
      <c r="B860" s="35"/>
      <c r="C860" s="69"/>
      <c r="D860" s="35"/>
      <c r="E860" s="35"/>
      <c r="F860" s="35"/>
      <c r="G860" s="35"/>
      <c r="H860" s="35"/>
      <c r="I860" s="35"/>
    </row>
    <row r="861" spans="1:9" ht="14.5">
      <c r="A861" s="35"/>
      <c r="B861" s="35"/>
      <c r="C861" s="69"/>
      <c r="D861" s="35"/>
      <c r="E861" s="35"/>
      <c r="F861" s="35"/>
      <c r="G861" s="35"/>
      <c r="H861" s="35"/>
      <c r="I861" s="35"/>
    </row>
    <row r="862" spans="1:9" ht="14.5">
      <c r="A862" s="35"/>
      <c r="B862" s="35"/>
      <c r="C862" s="69"/>
      <c r="D862" s="35"/>
      <c r="E862" s="35"/>
      <c r="F862" s="35"/>
      <c r="G862" s="35"/>
      <c r="H862" s="35"/>
      <c r="I862" s="35"/>
    </row>
    <row r="863" spans="1:9" ht="14.5">
      <c r="A863" s="35"/>
      <c r="B863" s="35"/>
      <c r="C863" s="69"/>
      <c r="D863" s="35"/>
      <c r="E863" s="35"/>
      <c r="F863" s="35"/>
      <c r="G863" s="35"/>
      <c r="H863" s="35"/>
      <c r="I863" s="35"/>
    </row>
    <row r="864" spans="1:9" ht="14.5">
      <c r="A864" s="35"/>
      <c r="B864" s="35"/>
      <c r="C864" s="69"/>
      <c r="D864" s="35"/>
      <c r="E864" s="35"/>
      <c r="F864" s="35"/>
      <c r="G864" s="35"/>
      <c r="H864" s="35"/>
      <c r="I864" s="35"/>
    </row>
    <row r="865" spans="1:9" ht="14.5">
      <c r="A865" s="35"/>
      <c r="B865" s="35"/>
      <c r="C865" s="69"/>
      <c r="D865" s="35"/>
      <c r="E865" s="35"/>
      <c r="F865" s="35"/>
      <c r="G865" s="35"/>
      <c r="H865" s="35"/>
      <c r="I865" s="35"/>
    </row>
    <row r="866" spans="1:9" ht="14.5">
      <c r="A866" s="35"/>
      <c r="B866" s="35"/>
      <c r="C866" s="69"/>
      <c r="D866" s="35"/>
      <c r="E866" s="35"/>
      <c r="F866" s="35"/>
      <c r="G866" s="35"/>
      <c r="H866" s="35"/>
      <c r="I866" s="35"/>
    </row>
    <row r="867" spans="1:9" ht="14.5">
      <c r="A867" s="35"/>
      <c r="B867" s="35"/>
      <c r="C867" s="69"/>
      <c r="D867" s="35"/>
      <c r="E867" s="35"/>
      <c r="F867" s="35"/>
      <c r="G867" s="35"/>
      <c r="H867" s="35"/>
      <c r="I867" s="35"/>
    </row>
    <row r="868" spans="1:9" ht="14.5">
      <c r="A868" s="35"/>
      <c r="B868" s="35"/>
      <c r="C868" s="69"/>
      <c r="D868" s="35"/>
      <c r="E868" s="35"/>
      <c r="F868" s="35"/>
      <c r="G868" s="35"/>
      <c r="H868" s="35"/>
      <c r="I868" s="35"/>
    </row>
    <row r="869" spans="1:9" ht="14.5">
      <c r="A869" s="35"/>
      <c r="B869" s="35"/>
      <c r="C869" s="69"/>
      <c r="D869" s="35"/>
      <c r="E869" s="35"/>
      <c r="F869" s="35"/>
      <c r="G869" s="35"/>
      <c r="H869" s="35"/>
      <c r="I869" s="35"/>
    </row>
    <row r="870" spans="1:9" ht="14.5">
      <c r="A870" s="35"/>
      <c r="B870" s="35"/>
      <c r="C870" s="69"/>
      <c r="D870" s="35"/>
      <c r="E870" s="35"/>
      <c r="F870" s="35"/>
      <c r="G870" s="35"/>
      <c r="H870" s="35"/>
      <c r="I870" s="35"/>
    </row>
    <row r="871" spans="1:9" ht="14.5">
      <c r="A871" s="35"/>
      <c r="B871" s="35"/>
      <c r="C871" s="69"/>
      <c r="D871" s="35"/>
      <c r="E871" s="35"/>
      <c r="F871" s="35"/>
      <c r="G871" s="35"/>
      <c r="H871" s="35"/>
      <c r="I871" s="35"/>
    </row>
    <row r="872" spans="1:9" ht="14.5">
      <c r="A872" s="35"/>
      <c r="B872" s="35"/>
      <c r="C872" s="69"/>
      <c r="D872" s="35"/>
      <c r="E872" s="35"/>
      <c r="F872" s="35"/>
      <c r="G872" s="35"/>
      <c r="H872" s="35"/>
      <c r="I872" s="35"/>
    </row>
    <row r="873" spans="1:9" ht="14.5">
      <c r="A873" s="35"/>
      <c r="B873" s="35"/>
      <c r="C873" s="69"/>
      <c r="D873" s="35"/>
      <c r="E873" s="35"/>
      <c r="F873" s="35"/>
      <c r="G873" s="35"/>
      <c r="H873" s="35"/>
      <c r="I873" s="35"/>
    </row>
    <row r="874" spans="1:9" ht="14.5">
      <c r="A874" s="35"/>
      <c r="B874" s="35"/>
      <c r="C874" s="69"/>
      <c r="D874" s="35"/>
      <c r="E874" s="35"/>
      <c r="F874" s="35"/>
      <c r="G874" s="35"/>
      <c r="H874" s="35"/>
      <c r="I874" s="35"/>
    </row>
    <row r="875" spans="1:9" ht="14.5">
      <c r="A875" s="35"/>
      <c r="B875" s="35"/>
      <c r="C875" s="69"/>
      <c r="D875" s="35"/>
      <c r="E875" s="35"/>
      <c r="F875" s="35"/>
      <c r="G875" s="35"/>
      <c r="H875" s="35"/>
      <c r="I875" s="35"/>
    </row>
    <row r="876" spans="1:9" ht="14.5">
      <c r="A876" s="35"/>
      <c r="B876" s="35"/>
      <c r="C876" s="69"/>
      <c r="D876" s="35"/>
      <c r="E876" s="35"/>
      <c r="F876" s="35"/>
      <c r="G876" s="35"/>
      <c r="H876" s="35"/>
      <c r="I876" s="35"/>
    </row>
    <row r="877" spans="1:9" ht="14.5">
      <c r="A877" s="35"/>
      <c r="B877" s="35"/>
      <c r="C877" s="69"/>
      <c r="D877" s="35"/>
      <c r="E877" s="35"/>
      <c r="F877" s="35"/>
      <c r="G877" s="35"/>
      <c r="H877" s="35"/>
      <c r="I877" s="35"/>
    </row>
    <row r="878" spans="1:9" ht="14.5">
      <c r="A878" s="35"/>
      <c r="B878" s="35"/>
      <c r="C878" s="69"/>
      <c r="D878" s="35"/>
      <c r="E878" s="35"/>
      <c r="F878" s="35"/>
      <c r="G878" s="35"/>
      <c r="H878" s="35"/>
      <c r="I878" s="35"/>
    </row>
    <row r="879" spans="1:9" ht="14.5">
      <c r="A879" s="35"/>
      <c r="B879" s="35"/>
      <c r="C879" s="69"/>
      <c r="D879" s="35"/>
      <c r="E879" s="35"/>
      <c r="F879" s="35"/>
      <c r="G879" s="35"/>
      <c r="H879" s="35"/>
      <c r="I879" s="35"/>
    </row>
    <row r="880" spans="1:9" ht="14.5">
      <c r="A880" s="35"/>
      <c r="B880" s="35"/>
      <c r="C880" s="69"/>
      <c r="D880" s="35"/>
      <c r="E880" s="35"/>
      <c r="F880" s="35"/>
      <c r="G880" s="35"/>
      <c r="H880" s="35"/>
      <c r="I880" s="35"/>
    </row>
    <row r="881" spans="1:9" ht="14.5">
      <c r="A881" s="35"/>
      <c r="B881" s="35"/>
      <c r="C881" s="69"/>
      <c r="D881" s="35"/>
      <c r="E881" s="35"/>
      <c r="F881" s="35"/>
      <c r="G881" s="35"/>
      <c r="H881" s="35"/>
      <c r="I881" s="35"/>
    </row>
    <row r="882" spans="1:9" ht="14.5">
      <c r="A882" s="35"/>
      <c r="B882" s="35"/>
      <c r="C882" s="69"/>
      <c r="D882" s="35"/>
      <c r="E882" s="35"/>
      <c r="F882" s="35"/>
      <c r="G882" s="35"/>
      <c r="H882" s="35"/>
      <c r="I882" s="35"/>
    </row>
    <row r="883" spans="1:9" ht="14.5">
      <c r="A883" s="35"/>
      <c r="B883" s="35"/>
      <c r="C883" s="69"/>
      <c r="D883" s="35"/>
      <c r="E883" s="35"/>
      <c r="F883" s="35"/>
      <c r="G883" s="35"/>
      <c r="H883" s="35"/>
      <c r="I883" s="35"/>
    </row>
    <row r="884" spans="1:9" ht="14.5">
      <c r="A884" s="35"/>
      <c r="B884" s="35"/>
      <c r="C884" s="69"/>
      <c r="D884" s="35"/>
      <c r="E884" s="35"/>
      <c r="F884" s="35"/>
      <c r="G884" s="35"/>
      <c r="H884" s="35"/>
      <c r="I884" s="35"/>
    </row>
    <row r="885" spans="1:9" ht="14.5">
      <c r="A885" s="35"/>
      <c r="B885" s="35"/>
      <c r="C885" s="69"/>
      <c r="D885" s="35"/>
      <c r="E885" s="35"/>
      <c r="F885" s="35"/>
      <c r="G885" s="35"/>
      <c r="H885" s="35"/>
      <c r="I885" s="35"/>
    </row>
    <row r="886" spans="1:9" ht="14.5">
      <c r="A886" s="35"/>
      <c r="B886" s="35"/>
      <c r="C886" s="69"/>
      <c r="D886" s="35"/>
      <c r="E886" s="35"/>
      <c r="F886" s="35"/>
      <c r="G886" s="35"/>
      <c r="H886" s="35"/>
      <c r="I886" s="35"/>
    </row>
    <row r="887" spans="1:9" ht="14.5">
      <c r="A887" s="35"/>
      <c r="B887" s="35"/>
      <c r="C887" s="69"/>
      <c r="D887" s="35"/>
      <c r="E887" s="35"/>
      <c r="F887" s="35"/>
      <c r="G887" s="35"/>
      <c r="H887" s="35"/>
      <c r="I887" s="35"/>
    </row>
    <row r="888" spans="1:9" ht="14.5">
      <c r="A888" s="35"/>
      <c r="B888" s="35"/>
      <c r="C888" s="69"/>
      <c r="D888" s="35"/>
      <c r="E888" s="35"/>
      <c r="F888" s="35"/>
      <c r="G888" s="35"/>
      <c r="H888" s="35"/>
      <c r="I888" s="35"/>
    </row>
    <row r="889" spans="1:9" ht="14.5">
      <c r="A889" s="35"/>
      <c r="B889" s="35"/>
      <c r="C889" s="69"/>
      <c r="D889" s="35"/>
      <c r="E889" s="35"/>
      <c r="F889" s="35"/>
      <c r="G889" s="35"/>
      <c r="H889" s="35"/>
      <c r="I889" s="35"/>
    </row>
    <row r="890" spans="1:9" ht="14.5">
      <c r="A890" s="35"/>
      <c r="B890" s="35"/>
      <c r="C890" s="69"/>
      <c r="D890" s="35"/>
      <c r="E890" s="35"/>
      <c r="F890" s="35"/>
      <c r="G890" s="35"/>
      <c r="H890" s="35"/>
      <c r="I890" s="35"/>
    </row>
    <row r="891" spans="1:9" ht="14.5">
      <c r="A891" s="35"/>
      <c r="B891" s="35"/>
      <c r="C891" s="69"/>
      <c r="D891" s="35"/>
      <c r="E891" s="35"/>
      <c r="F891" s="35"/>
      <c r="G891" s="35"/>
      <c r="H891" s="35"/>
      <c r="I891" s="35"/>
    </row>
    <row r="892" spans="1:9" ht="14.5">
      <c r="A892" s="35"/>
      <c r="B892" s="35"/>
      <c r="C892" s="69"/>
      <c r="D892" s="35"/>
      <c r="E892" s="35"/>
      <c r="F892" s="35"/>
      <c r="G892" s="35"/>
      <c r="H892" s="35"/>
      <c r="I892" s="35"/>
    </row>
    <row r="893" spans="1:9" ht="14.5">
      <c r="A893" s="35"/>
      <c r="B893" s="35"/>
      <c r="C893" s="69"/>
      <c r="D893" s="35"/>
      <c r="E893" s="35"/>
      <c r="F893" s="35"/>
      <c r="G893" s="35"/>
      <c r="H893" s="35"/>
      <c r="I893" s="35"/>
    </row>
    <row r="894" spans="1:9" ht="14.5">
      <c r="A894" s="35"/>
      <c r="B894" s="35"/>
      <c r="C894" s="69"/>
      <c r="D894" s="35"/>
      <c r="E894" s="35"/>
      <c r="F894" s="35"/>
      <c r="G894" s="35"/>
      <c r="H894" s="35"/>
      <c r="I894" s="35"/>
    </row>
    <row r="895" spans="1:9" ht="14.5">
      <c r="A895" s="35"/>
      <c r="B895" s="35"/>
      <c r="C895" s="69"/>
      <c r="D895" s="35"/>
      <c r="E895" s="35"/>
      <c r="F895" s="35"/>
      <c r="G895" s="35"/>
      <c r="H895" s="35"/>
      <c r="I895" s="35"/>
    </row>
    <row r="896" spans="1:9" ht="14.5">
      <c r="A896" s="35"/>
      <c r="B896" s="35"/>
      <c r="C896" s="69"/>
      <c r="D896" s="35"/>
      <c r="E896" s="35"/>
      <c r="F896" s="35"/>
      <c r="G896" s="35"/>
      <c r="H896" s="35"/>
      <c r="I896" s="35"/>
    </row>
    <row r="897" spans="1:9" ht="14.5">
      <c r="A897" s="35"/>
      <c r="B897" s="35"/>
      <c r="C897" s="69"/>
      <c r="D897" s="35"/>
      <c r="E897" s="35"/>
      <c r="F897" s="35"/>
      <c r="G897" s="35"/>
      <c r="H897" s="35"/>
      <c r="I897" s="35"/>
    </row>
    <row r="898" spans="1:9" ht="14.5">
      <c r="A898" s="35"/>
      <c r="B898" s="35"/>
      <c r="C898" s="69"/>
      <c r="D898" s="35"/>
      <c r="E898" s="35"/>
      <c r="F898" s="35"/>
      <c r="G898" s="35"/>
      <c r="H898" s="35"/>
      <c r="I898" s="35"/>
    </row>
    <row r="899" spans="1:9" ht="14.5">
      <c r="A899" s="35"/>
      <c r="B899" s="35"/>
      <c r="C899" s="69"/>
      <c r="D899" s="35"/>
      <c r="E899" s="35"/>
      <c r="F899" s="35"/>
      <c r="G899" s="35"/>
      <c r="H899" s="35"/>
      <c r="I899" s="35"/>
    </row>
    <row r="900" spans="1:9" ht="14.5">
      <c r="A900" s="35"/>
      <c r="B900" s="35"/>
      <c r="C900" s="69"/>
      <c r="D900" s="35"/>
      <c r="E900" s="35"/>
      <c r="F900" s="35"/>
      <c r="G900" s="35"/>
      <c r="H900" s="35"/>
      <c r="I900" s="35"/>
    </row>
    <row r="901" spans="1:9" ht="14.5">
      <c r="A901" s="35"/>
      <c r="B901" s="35"/>
      <c r="C901" s="69"/>
      <c r="D901" s="35"/>
      <c r="E901" s="35"/>
      <c r="F901" s="35"/>
      <c r="G901" s="35"/>
      <c r="H901" s="35"/>
      <c r="I901" s="35"/>
    </row>
    <row r="902" spans="1:9" ht="14.5">
      <c r="A902" s="35"/>
      <c r="B902" s="35"/>
      <c r="C902" s="69"/>
      <c r="D902" s="35"/>
      <c r="E902" s="35"/>
      <c r="F902" s="35"/>
      <c r="G902" s="35"/>
      <c r="H902" s="35"/>
      <c r="I902" s="35"/>
    </row>
    <row r="903" spans="1:9" ht="14.5">
      <c r="A903" s="35"/>
      <c r="B903" s="35"/>
      <c r="C903" s="69"/>
      <c r="D903" s="35"/>
      <c r="E903" s="35"/>
      <c r="F903" s="35"/>
      <c r="G903" s="35"/>
      <c r="H903" s="35"/>
      <c r="I903" s="35"/>
    </row>
    <row r="904" spans="1:9" ht="14.5">
      <c r="A904" s="35"/>
      <c r="B904" s="35"/>
      <c r="C904" s="69"/>
      <c r="D904" s="35"/>
      <c r="E904" s="35"/>
      <c r="F904" s="35"/>
      <c r="G904" s="35"/>
      <c r="H904" s="35"/>
      <c r="I904" s="35"/>
    </row>
    <row r="905" spans="1:9" ht="14.5">
      <c r="A905" s="35"/>
      <c r="B905" s="35"/>
      <c r="C905" s="69"/>
      <c r="D905" s="35"/>
      <c r="E905" s="35"/>
      <c r="F905" s="35"/>
      <c r="G905" s="35"/>
      <c r="H905" s="35"/>
      <c r="I905" s="35"/>
    </row>
    <row r="906" spans="1:9" ht="14.5">
      <c r="A906" s="35"/>
      <c r="B906" s="35"/>
      <c r="C906" s="69"/>
      <c r="D906" s="35"/>
      <c r="E906" s="35"/>
      <c r="F906" s="35"/>
      <c r="G906" s="35"/>
      <c r="H906" s="35"/>
      <c r="I906" s="35"/>
    </row>
    <row r="907" spans="1:9" ht="14.5">
      <c r="A907" s="35"/>
      <c r="B907" s="35"/>
      <c r="C907" s="69"/>
      <c r="D907" s="35"/>
      <c r="E907" s="35"/>
      <c r="F907" s="35"/>
      <c r="G907" s="35"/>
      <c r="H907" s="35"/>
      <c r="I907" s="35"/>
    </row>
    <row r="908" spans="1:9" ht="14.5">
      <c r="A908" s="35"/>
      <c r="B908" s="35"/>
      <c r="C908" s="69"/>
      <c r="D908" s="35"/>
      <c r="E908" s="35"/>
      <c r="F908" s="35"/>
      <c r="G908" s="35"/>
      <c r="H908" s="35"/>
      <c r="I908" s="35"/>
    </row>
    <row r="909" spans="1:9" ht="14.5">
      <c r="A909" s="35"/>
      <c r="B909" s="35"/>
      <c r="C909" s="69"/>
      <c r="D909" s="35"/>
      <c r="E909" s="35"/>
      <c r="F909" s="35"/>
      <c r="G909" s="35"/>
      <c r="H909" s="35"/>
      <c r="I909" s="35"/>
    </row>
    <row r="910" spans="1:9" ht="14.5">
      <c r="A910" s="35"/>
      <c r="B910" s="35"/>
      <c r="C910" s="69"/>
      <c r="D910" s="35"/>
      <c r="E910" s="35"/>
      <c r="F910" s="35"/>
      <c r="G910" s="35"/>
      <c r="H910" s="35"/>
      <c r="I910" s="35"/>
    </row>
    <row r="911" spans="1:9" ht="14.5">
      <c r="A911" s="35"/>
      <c r="B911" s="35"/>
      <c r="C911" s="69"/>
      <c r="D911" s="35"/>
      <c r="E911" s="35"/>
      <c r="F911" s="35"/>
      <c r="G911" s="35"/>
      <c r="H911" s="35"/>
      <c r="I911" s="35"/>
    </row>
    <row r="912" spans="1:9" ht="14.5">
      <c r="A912" s="35"/>
      <c r="B912" s="35"/>
      <c r="C912" s="69"/>
      <c r="D912" s="35"/>
      <c r="E912" s="35"/>
      <c r="F912" s="35"/>
      <c r="G912" s="35"/>
      <c r="H912" s="35"/>
      <c r="I912" s="35"/>
    </row>
    <row r="913" spans="1:9" ht="14.5">
      <c r="A913" s="35"/>
      <c r="B913" s="35"/>
      <c r="C913" s="69"/>
      <c r="D913" s="35"/>
      <c r="E913" s="35"/>
      <c r="F913" s="35"/>
      <c r="G913" s="35"/>
      <c r="H913" s="35"/>
      <c r="I913" s="35"/>
    </row>
    <row r="914" spans="1:9" ht="14.5">
      <c r="A914" s="35"/>
      <c r="B914" s="35"/>
      <c r="C914" s="69"/>
      <c r="D914" s="35"/>
      <c r="E914" s="35"/>
      <c r="F914" s="35"/>
      <c r="G914" s="35"/>
      <c r="H914" s="35"/>
      <c r="I914" s="35"/>
    </row>
    <row r="915" spans="1:9" ht="14.5">
      <c r="A915" s="35"/>
      <c r="B915" s="35"/>
      <c r="C915" s="69"/>
      <c r="D915" s="35"/>
      <c r="E915" s="35"/>
      <c r="F915" s="35"/>
      <c r="G915" s="35"/>
      <c r="H915" s="35"/>
      <c r="I915" s="35"/>
    </row>
    <row r="916" spans="1:9" ht="14.5">
      <c r="A916" s="35"/>
      <c r="B916" s="35"/>
      <c r="C916" s="69"/>
      <c r="D916" s="35"/>
      <c r="E916" s="35"/>
      <c r="F916" s="35"/>
      <c r="G916" s="35"/>
      <c r="H916" s="35"/>
      <c r="I916" s="35"/>
    </row>
    <row r="917" spans="1:9" ht="14.5">
      <c r="A917" s="35"/>
      <c r="B917" s="35"/>
      <c r="C917" s="69"/>
      <c r="D917" s="35"/>
      <c r="E917" s="35"/>
      <c r="F917" s="35"/>
      <c r="G917" s="35"/>
      <c r="H917" s="35"/>
      <c r="I917" s="35"/>
    </row>
    <row r="918" spans="1:9" ht="14.5">
      <c r="A918" s="35"/>
      <c r="B918" s="35"/>
      <c r="C918" s="69"/>
      <c r="D918" s="35"/>
      <c r="E918" s="35"/>
      <c r="F918" s="35"/>
      <c r="G918" s="35"/>
      <c r="H918" s="35"/>
      <c r="I918" s="35"/>
    </row>
    <row r="919" spans="1:9" ht="14.5">
      <c r="A919" s="35"/>
      <c r="B919" s="35"/>
      <c r="C919" s="69"/>
      <c r="D919" s="35"/>
      <c r="E919" s="35"/>
      <c r="F919" s="35"/>
      <c r="G919" s="35"/>
      <c r="H919" s="35"/>
      <c r="I919" s="35"/>
    </row>
    <row r="920" spans="1:9" ht="14.5">
      <c r="A920" s="35"/>
      <c r="B920" s="35"/>
      <c r="C920" s="69"/>
      <c r="D920" s="35"/>
      <c r="E920" s="35"/>
      <c r="F920" s="35"/>
      <c r="G920" s="35"/>
      <c r="H920" s="35"/>
      <c r="I920" s="35"/>
    </row>
    <row r="921" spans="1:9" ht="14.5">
      <c r="A921" s="35"/>
      <c r="B921" s="35"/>
      <c r="C921" s="69"/>
      <c r="D921" s="35"/>
      <c r="E921" s="35"/>
      <c r="F921" s="35"/>
      <c r="G921" s="35"/>
      <c r="H921" s="35"/>
      <c r="I921" s="35"/>
    </row>
    <row r="922" spans="1:9" ht="14.5">
      <c r="A922" s="35"/>
      <c r="B922" s="35"/>
      <c r="C922" s="69"/>
      <c r="D922" s="35"/>
      <c r="E922" s="35"/>
      <c r="F922" s="35"/>
      <c r="G922" s="35"/>
      <c r="H922" s="35"/>
      <c r="I922" s="35"/>
    </row>
    <row r="923" spans="1:9" ht="14.5">
      <c r="A923" s="35"/>
      <c r="B923" s="35"/>
      <c r="C923" s="69"/>
      <c r="D923" s="35"/>
      <c r="E923" s="35"/>
      <c r="F923" s="35"/>
      <c r="G923" s="35"/>
      <c r="H923" s="35"/>
      <c r="I923" s="35"/>
    </row>
    <row r="924" spans="1:9" ht="14.5">
      <c r="A924" s="35"/>
      <c r="B924" s="35"/>
      <c r="C924" s="69"/>
      <c r="D924" s="35"/>
      <c r="E924" s="35"/>
      <c r="F924" s="35"/>
      <c r="G924" s="35"/>
      <c r="H924" s="35"/>
      <c r="I924" s="35"/>
    </row>
    <row r="925" spans="1:9" ht="14.5">
      <c r="A925" s="35"/>
      <c r="B925" s="35"/>
      <c r="C925" s="69"/>
      <c r="D925" s="35"/>
      <c r="E925" s="35"/>
      <c r="F925" s="35"/>
      <c r="G925" s="35"/>
      <c r="H925" s="35"/>
      <c r="I925" s="35"/>
    </row>
    <row r="926" spans="1:9" ht="14.5">
      <c r="A926" s="35"/>
      <c r="B926" s="35"/>
      <c r="C926" s="69"/>
      <c r="D926" s="35"/>
      <c r="E926" s="35"/>
      <c r="F926" s="35"/>
      <c r="G926" s="35"/>
      <c r="H926" s="35"/>
      <c r="I926" s="35"/>
    </row>
    <row r="927" spans="1:9" ht="14.5">
      <c r="A927" s="35"/>
      <c r="B927" s="35"/>
      <c r="C927" s="69"/>
      <c r="D927" s="35"/>
      <c r="E927" s="35"/>
      <c r="F927" s="35"/>
      <c r="G927" s="35"/>
      <c r="H927" s="35"/>
      <c r="I927" s="35"/>
    </row>
    <row r="928" spans="1:9" ht="14.5">
      <c r="A928" s="35"/>
      <c r="B928" s="35"/>
      <c r="C928" s="69"/>
      <c r="D928" s="35"/>
      <c r="E928" s="35"/>
      <c r="F928" s="35"/>
      <c r="G928" s="35"/>
      <c r="H928" s="35"/>
      <c r="I928" s="35"/>
    </row>
    <row r="929" spans="1:9" ht="14.5">
      <c r="A929" s="35"/>
      <c r="B929" s="35"/>
      <c r="C929" s="69"/>
      <c r="D929" s="35"/>
      <c r="E929" s="35"/>
      <c r="F929" s="35"/>
      <c r="G929" s="35"/>
      <c r="H929" s="35"/>
      <c r="I929" s="35"/>
    </row>
    <row r="930" spans="1:9" ht="14.5">
      <c r="A930" s="35"/>
      <c r="B930" s="35"/>
      <c r="C930" s="69"/>
      <c r="D930" s="35"/>
      <c r="E930" s="35"/>
      <c r="F930" s="35"/>
      <c r="G930" s="35"/>
      <c r="H930" s="35"/>
      <c r="I930" s="35"/>
    </row>
    <row r="931" spans="1:9" ht="14.5">
      <c r="A931" s="35"/>
      <c r="B931" s="35"/>
      <c r="C931" s="69"/>
      <c r="D931" s="35"/>
      <c r="E931" s="35"/>
      <c r="F931" s="35"/>
      <c r="G931" s="35"/>
      <c r="H931" s="35"/>
      <c r="I931" s="35"/>
    </row>
    <row r="932" spans="1:9" ht="14.5">
      <c r="A932" s="35"/>
      <c r="B932" s="35"/>
      <c r="C932" s="69"/>
      <c r="D932" s="35"/>
      <c r="E932" s="35"/>
      <c r="F932" s="35"/>
      <c r="G932" s="35"/>
      <c r="H932" s="35"/>
      <c r="I932" s="35"/>
    </row>
    <row r="933" spans="1:9" ht="14.5">
      <c r="A933" s="35"/>
      <c r="B933" s="35"/>
      <c r="C933" s="69"/>
      <c r="D933" s="35"/>
      <c r="E933" s="35"/>
      <c r="F933" s="35"/>
      <c r="G933" s="35"/>
      <c r="H933" s="35"/>
      <c r="I933" s="35"/>
    </row>
    <row r="934" spans="1:9" ht="14.5">
      <c r="A934" s="35"/>
      <c r="B934" s="35"/>
      <c r="C934" s="69"/>
      <c r="D934" s="35"/>
      <c r="E934" s="35"/>
      <c r="F934" s="35"/>
      <c r="G934" s="35"/>
      <c r="H934" s="35"/>
      <c r="I934" s="35"/>
    </row>
    <row r="935" spans="1:9" ht="14.5">
      <c r="A935" s="35"/>
      <c r="B935" s="35"/>
      <c r="C935" s="69"/>
      <c r="D935" s="35"/>
      <c r="E935" s="35"/>
      <c r="F935" s="35"/>
      <c r="G935" s="35"/>
      <c r="H935" s="35"/>
      <c r="I935" s="35"/>
    </row>
    <row r="936" spans="1:9" ht="14.5">
      <c r="A936" s="35"/>
      <c r="B936" s="35"/>
      <c r="C936" s="69"/>
      <c r="D936" s="35"/>
      <c r="E936" s="35"/>
      <c r="F936" s="35"/>
      <c r="G936" s="35"/>
      <c r="H936" s="35"/>
      <c r="I936" s="35"/>
    </row>
    <row r="937" spans="1:9" ht="14.5">
      <c r="A937" s="35"/>
      <c r="B937" s="35"/>
      <c r="C937" s="69"/>
      <c r="D937" s="35"/>
      <c r="E937" s="35"/>
      <c r="F937" s="35"/>
      <c r="G937" s="35"/>
      <c r="H937" s="35"/>
      <c r="I937" s="35"/>
    </row>
    <row r="938" spans="1:9" ht="14.5">
      <c r="A938" s="35"/>
      <c r="B938" s="35"/>
      <c r="C938" s="69"/>
      <c r="D938" s="35"/>
      <c r="E938" s="35"/>
      <c r="F938" s="35"/>
      <c r="G938" s="35"/>
      <c r="H938" s="35"/>
      <c r="I938" s="35"/>
    </row>
    <row r="939" spans="1:9" ht="14.5">
      <c r="A939" s="35"/>
      <c r="B939" s="35"/>
      <c r="C939" s="69"/>
      <c r="D939" s="35"/>
      <c r="E939" s="35"/>
      <c r="F939" s="35"/>
      <c r="G939" s="35"/>
      <c r="H939" s="35"/>
      <c r="I939" s="35"/>
    </row>
    <row r="940" spans="1:9" ht="14.5">
      <c r="A940" s="35"/>
      <c r="B940" s="35"/>
      <c r="C940" s="69"/>
      <c r="D940" s="35"/>
      <c r="E940" s="35"/>
      <c r="F940" s="35"/>
      <c r="G940" s="35"/>
      <c r="H940" s="35"/>
      <c r="I940" s="35"/>
    </row>
    <row r="941" spans="1:9" ht="14.5">
      <c r="A941" s="35"/>
      <c r="B941" s="35"/>
      <c r="C941" s="69"/>
      <c r="D941" s="35"/>
      <c r="E941" s="35"/>
      <c r="F941" s="35"/>
      <c r="G941" s="35"/>
      <c r="H941" s="35"/>
      <c r="I941" s="35"/>
    </row>
    <row r="942" spans="1:9" ht="14.5">
      <c r="A942" s="35"/>
      <c r="B942" s="35"/>
      <c r="C942" s="69"/>
      <c r="D942" s="35"/>
      <c r="E942" s="35"/>
      <c r="F942" s="35"/>
      <c r="G942" s="35"/>
      <c r="H942" s="35"/>
      <c r="I942" s="35"/>
    </row>
    <row r="943" spans="1:9" ht="14.5">
      <c r="A943" s="35"/>
      <c r="B943" s="35"/>
      <c r="C943" s="69"/>
      <c r="D943" s="35"/>
      <c r="E943" s="35"/>
      <c r="F943" s="35"/>
      <c r="G943" s="35"/>
      <c r="H943" s="35"/>
      <c r="I943" s="35"/>
    </row>
    <row r="944" spans="1:9" ht="14.5">
      <c r="A944" s="35"/>
      <c r="B944" s="35"/>
      <c r="C944" s="69"/>
      <c r="D944" s="35"/>
      <c r="E944" s="35"/>
      <c r="F944" s="35"/>
      <c r="G944" s="35"/>
      <c r="H944" s="35"/>
      <c r="I944" s="35"/>
    </row>
    <row r="945" spans="1:9" ht="14.5">
      <c r="A945" s="35"/>
      <c r="B945" s="35"/>
      <c r="C945" s="69"/>
      <c r="D945" s="35"/>
      <c r="E945" s="35"/>
      <c r="F945" s="35"/>
      <c r="G945" s="35"/>
      <c r="H945" s="35"/>
      <c r="I945" s="35"/>
    </row>
    <row r="946" spans="1:9" ht="14.5">
      <c r="A946" s="35"/>
      <c r="B946" s="35"/>
      <c r="C946" s="69"/>
      <c r="D946" s="35"/>
      <c r="E946" s="35"/>
      <c r="F946" s="35"/>
      <c r="G946" s="35"/>
      <c r="H946" s="35"/>
      <c r="I946" s="35"/>
    </row>
    <row r="947" spans="1:9" ht="14.5">
      <c r="A947" s="35"/>
      <c r="B947" s="35"/>
      <c r="C947" s="69"/>
      <c r="D947" s="35"/>
      <c r="E947" s="35"/>
      <c r="F947" s="35"/>
      <c r="G947" s="35"/>
      <c r="H947" s="35"/>
      <c r="I947" s="35"/>
    </row>
    <row r="948" spans="1:9" ht="14.5">
      <c r="A948" s="35"/>
      <c r="B948" s="35"/>
      <c r="C948" s="69"/>
      <c r="D948" s="35"/>
      <c r="E948" s="35"/>
      <c r="F948" s="35"/>
      <c r="G948" s="35"/>
      <c r="H948" s="35"/>
      <c r="I948" s="35"/>
    </row>
    <row r="949" spans="1:9" ht="14.5">
      <c r="A949" s="35"/>
      <c r="B949" s="35"/>
      <c r="C949" s="69"/>
      <c r="D949" s="35"/>
      <c r="E949" s="35"/>
      <c r="F949" s="35"/>
      <c r="G949" s="35"/>
      <c r="H949" s="35"/>
      <c r="I949" s="35"/>
    </row>
    <row r="950" spans="1:9" ht="14.5">
      <c r="A950" s="35"/>
      <c r="B950" s="35"/>
      <c r="C950" s="69"/>
      <c r="D950" s="35"/>
      <c r="E950" s="35"/>
      <c r="F950" s="35"/>
      <c r="G950" s="35"/>
      <c r="H950" s="35"/>
      <c r="I950" s="35"/>
    </row>
    <row r="951" spans="1:9" ht="14.5">
      <c r="A951" s="35"/>
      <c r="B951" s="35"/>
      <c r="C951" s="69"/>
      <c r="D951" s="35"/>
      <c r="E951" s="35"/>
      <c r="F951" s="35"/>
      <c r="G951" s="35"/>
      <c r="H951" s="35"/>
      <c r="I951" s="35"/>
    </row>
    <row r="952" spans="1:9" ht="14.5">
      <c r="A952" s="35"/>
      <c r="B952" s="35"/>
      <c r="C952" s="69"/>
      <c r="D952" s="35"/>
      <c r="E952" s="35"/>
      <c r="F952" s="35"/>
      <c r="G952" s="35"/>
      <c r="H952" s="35"/>
      <c r="I952" s="35"/>
    </row>
    <row r="953" spans="1:9" ht="14.5">
      <c r="A953" s="35"/>
      <c r="B953" s="35"/>
      <c r="C953" s="69"/>
      <c r="D953" s="35"/>
      <c r="E953" s="35"/>
      <c r="F953" s="35"/>
      <c r="G953" s="35"/>
      <c r="H953" s="35"/>
      <c r="I953" s="35"/>
    </row>
    <row r="954" spans="1:9" ht="14.5">
      <c r="A954" s="35"/>
      <c r="B954" s="35"/>
      <c r="C954" s="69"/>
      <c r="D954" s="35"/>
      <c r="E954" s="35"/>
      <c r="F954" s="35"/>
      <c r="G954" s="35"/>
      <c r="H954" s="35"/>
      <c r="I954" s="35"/>
    </row>
    <row r="955" spans="1:9" ht="14.5">
      <c r="A955" s="35"/>
      <c r="B955" s="35"/>
      <c r="C955" s="69"/>
      <c r="D955" s="35"/>
      <c r="E955" s="35"/>
      <c r="F955" s="35"/>
      <c r="G955" s="35"/>
      <c r="H955" s="35"/>
      <c r="I955" s="35"/>
    </row>
    <row r="956" spans="1:9" ht="14.5">
      <c r="A956" s="35"/>
      <c r="B956" s="35"/>
      <c r="C956" s="69"/>
      <c r="D956" s="35"/>
      <c r="E956" s="35"/>
      <c r="F956" s="35"/>
      <c r="G956" s="35"/>
      <c r="H956" s="35"/>
      <c r="I956" s="35"/>
    </row>
    <row r="957" spans="1:9" ht="14.5">
      <c r="A957" s="35"/>
      <c r="B957" s="35"/>
      <c r="C957" s="69"/>
      <c r="D957" s="35"/>
      <c r="E957" s="35"/>
      <c r="F957" s="35"/>
      <c r="G957" s="35"/>
      <c r="H957" s="35"/>
      <c r="I957" s="35"/>
    </row>
    <row r="958" spans="1:9" ht="14.5">
      <c r="A958" s="35"/>
      <c r="B958" s="35"/>
      <c r="C958" s="69"/>
      <c r="D958" s="35"/>
      <c r="E958" s="35"/>
      <c r="F958" s="35"/>
      <c r="G958" s="35"/>
      <c r="H958" s="35"/>
      <c r="I958" s="35"/>
    </row>
    <row r="959" spans="1:9" ht="14.5">
      <c r="A959" s="35"/>
      <c r="B959" s="35"/>
      <c r="C959" s="69"/>
      <c r="D959" s="35"/>
      <c r="E959" s="35"/>
      <c r="F959" s="35"/>
      <c r="G959" s="35"/>
      <c r="H959" s="35"/>
      <c r="I959" s="35"/>
    </row>
    <row r="960" spans="1:9" ht="14.5">
      <c r="A960" s="35"/>
      <c r="B960" s="35"/>
      <c r="C960" s="69"/>
      <c r="D960" s="35"/>
      <c r="E960" s="35"/>
      <c r="F960" s="35"/>
      <c r="G960" s="35"/>
      <c r="H960" s="35"/>
      <c r="I960" s="35"/>
    </row>
    <row r="961" spans="1:9" ht="14.5">
      <c r="A961" s="35"/>
      <c r="B961" s="35"/>
      <c r="C961" s="69"/>
      <c r="D961" s="35"/>
      <c r="E961" s="35"/>
      <c r="F961" s="35"/>
      <c r="G961" s="35"/>
      <c r="H961" s="35"/>
      <c r="I961" s="35"/>
    </row>
    <row r="962" spans="1:9" ht="14.5">
      <c r="A962" s="35"/>
      <c r="B962" s="35"/>
      <c r="C962" s="69"/>
      <c r="D962" s="35"/>
      <c r="E962" s="35"/>
      <c r="F962" s="35"/>
      <c r="G962" s="35"/>
      <c r="H962" s="35"/>
      <c r="I962" s="35"/>
    </row>
    <row r="963" spans="1:9" ht="14.5">
      <c r="A963" s="35"/>
      <c r="B963" s="35"/>
      <c r="C963" s="69"/>
      <c r="D963" s="35"/>
      <c r="E963" s="35"/>
      <c r="F963" s="35"/>
      <c r="G963" s="35"/>
      <c r="H963" s="35"/>
      <c r="I963" s="35"/>
    </row>
    <row r="964" spans="1:9" ht="14.5">
      <c r="A964" s="35"/>
      <c r="B964" s="35"/>
      <c r="C964" s="69"/>
      <c r="D964" s="35"/>
      <c r="E964" s="35"/>
      <c r="F964" s="35"/>
      <c r="G964" s="35"/>
      <c r="H964" s="35"/>
      <c r="I964" s="35"/>
    </row>
    <row r="965" spans="1:9" ht="14.5">
      <c r="A965" s="35"/>
      <c r="B965" s="35"/>
      <c r="C965" s="69"/>
      <c r="D965" s="35"/>
      <c r="E965" s="35"/>
      <c r="F965" s="35"/>
      <c r="G965" s="35"/>
      <c r="H965" s="35"/>
      <c r="I965" s="35"/>
    </row>
    <row r="966" spans="1:9" ht="14.5">
      <c r="A966" s="35"/>
      <c r="B966" s="35"/>
      <c r="C966" s="69"/>
      <c r="D966" s="35"/>
      <c r="E966" s="35"/>
      <c r="F966" s="35"/>
      <c r="G966" s="35"/>
      <c r="H966" s="35"/>
      <c r="I966" s="35"/>
    </row>
    <row r="967" spans="1:9" ht="14.5">
      <c r="A967" s="35"/>
      <c r="B967" s="35"/>
      <c r="C967" s="69"/>
      <c r="D967" s="35"/>
      <c r="E967" s="35"/>
      <c r="F967" s="35"/>
      <c r="G967" s="35"/>
      <c r="H967" s="35"/>
      <c r="I967" s="35"/>
    </row>
    <row r="968" spans="1:9" ht="14.5">
      <c r="A968" s="35"/>
      <c r="B968" s="35"/>
      <c r="C968" s="69"/>
      <c r="D968" s="35"/>
      <c r="E968" s="35"/>
      <c r="F968" s="35"/>
      <c r="G968" s="35"/>
      <c r="H968" s="35"/>
      <c r="I968" s="35"/>
    </row>
    <row r="969" spans="1:9" ht="14.5">
      <c r="A969" s="35"/>
      <c r="B969" s="35"/>
      <c r="C969" s="69"/>
      <c r="D969" s="35"/>
      <c r="E969" s="35"/>
      <c r="F969" s="35"/>
      <c r="G969" s="35"/>
      <c r="H969" s="35"/>
      <c r="I969" s="35"/>
    </row>
    <row r="970" spans="1:9" ht="14.5">
      <c r="A970" s="35"/>
      <c r="B970" s="35"/>
      <c r="C970" s="69"/>
      <c r="D970" s="35"/>
      <c r="E970" s="35"/>
      <c r="F970" s="35"/>
      <c r="G970" s="35"/>
      <c r="H970" s="35"/>
      <c r="I970" s="35"/>
    </row>
    <row r="971" spans="1:9" ht="14.5">
      <c r="A971" s="35"/>
      <c r="B971" s="35"/>
      <c r="C971" s="69"/>
      <c r="D971" s="35"/>
      <c r="E971" s="35"/>
      <c r="F971" s="35"/>
      <c r="G971" s="35"/>
      <c r="H971" s="35"/>
      <c r="I971" s="35"/>
    </row>
    <row r="972" spans="1:9" ht="14.5">
      <c r="A972" s="35"/>
      <c r="B972" s="35"/>
      <c r="C972" s="69"/>
      <c r="D972" s="35"/>
      <c r="E972" s="35"/>
      <c r="F972" s="35"/>
      <c r="G972" s="35"/>
      <c r="H972" s="35"/>
      <c r="I972" s="35"/>
    </row>
    <row r="973" spans="1:9" ht="14.5">
      <c r="A973" s="35"/>
      <c r="B973" s="35"/>
      <c r="C973" s="69"/>
      <c r="D973" s="35"/>
      <c r="E973" s="35"/>
      <c r="F973" s="35"/>
      <c r="G973" s="35"/>
      <c r="H973" s="35"/>
      <c r="I973" s="35"/>
    </row>
    <row r="974" spans="1:9" ht="14.5">
      <c r="A974" s="35"/>
      <c r="B974" s="35"/>
      <c r="C974" s="69"/>
      <c r="D974" s="35"/>
      <c r="E974" s="35"/>
      <c r="F974" s="35"/>
      <c r="G974" s="35"/>
      <c r="H974" s="35"/>
      <c r="I974" s="35"/>
    </row>
    <row r="975" spans="1:9" ht="14.5">
      <c r="A975" s="35"/>
      <c r="B975" s="35"/>
      <c r="C975" s="69"/>
      <c r="D975" s="35"/>
      <c r="E975" s="35"/>
      <c r="F975" s="35"/>
      <c r="G975" s="35"/>
      <c r="H975" s="35"/>
      <c r="I975" s="35"/>
    </row>
    <row r="976" spans="1:9" ht="14.5">
      <c r="A976" s="35"/>
      <c r="B976" s="35"/>
      <c r="C976" s="69"/>
      <c r="D976" s="35"/>
      <c r="E976" s="35"/>
      <c r="F976" s="35"/>
      <c r="G976" s="35"/>
      <c r="H976" s="35"/>
      <c r="I976" s="35"/>
    </row>
    <row r="977" spans="1:9" ht="14.5">
      <c r="A977" s="35"/>
      <c r="B977" s="35"/>
      <c r="C977" s="69"/>
      <c r="D977" s="35"/>
      <c r="E977" s="35"/>
      <c r="F977" s="35"/>
      <c r="G977" s="35"/>
      <c r="H977" s="35"/>
      <c r="I977" s="35"/>
    </row>
    <row r="978" spans="1:9" ht="14.5">
      <c r="A978" s="35"/>
      <c r="B978" s="35"/>
      <c r="C978" s="69"/>
      <c r="D978" s="35"/>
      <c r="E978" s="35"/>
      <c r="F978" s="35"/>
      <c r="G978" s="35"/>
      <c r="H978" s="35"/>
      <c r="I978" s="35"/>
    </row>
    <row r="979" spans="1:9" ht="14.5">
      <c r="A979" s="35"/>
      <c r="B979" s="35"/>
      <c r="C979" s="69"/>
      <c r="D979" s="35"/>
      <c r="E979" s="35"/>
      <c r="F979" s="35"/>
      <c r="G979" s="35"/>
      <c r="H979" s="35"/>
      <c r="I979" s="35"/>
    </row>
    <row r="980" spans="1:9" ht="14.5">
      <c r="A980" s="35"/>
      <c r="B980" s="35"/>
      <c r="C980" s="69"/>
      <c r="D980" s="35"/>
      <c r="E980" s="35"/>
      <c r="F980" s="35"/>
      <c r="G980" s="35"/>
      <c r="H980" s="35"/>
      <c r="I980" s="35"/>
    </row>
    <row r="981" spans="1:9" ht="14.5">
      <c r="A981" s="35"/>
      <c r="B981" s="35"/>
      <c r="C981" s="69"/>
      <c r="D981" s="35"/>
      <c r="E981" s="35"/>
      <c r="F981" s="35"/>
      <c r="G981" s="35"/>
      <c r="H981" s="35"/>
      <c r="I981" s="35"/>
    </row>
    <row r="982" spans="1:9" ht="14.5">
      <c r="A982" s="35"/>
      <c r="B982" s="35"/>
      <c r="C982" s="69"/>
      <c r="D982" s="35"/>
      <c r="E982" s="35"/>
      <c r="F982" s="35"/>
      <c r="G982" s="35"/>
      <c r="H982" s="35"/>
      <c r="I982" s="35"/>
    </row>
    <row r="983" spans="1:9" ht="14.5">
      <c r="A983" s="35"/>
      <c r="B983" s="35"/>
      <c r="C983" s="69"/>
      <c r="D983" s="35"/>
      <c r="E983" s="35"/>
      <c r="F983" s="35"/>
      <c r="G983" s="35"/>
      <c r="H983" s="35"/>
      <c r="I983" s="35"/>
    </row>
    <row r="984" spans="1:9" ht="14.5">
      <c r="A984" s="35"/>
      <c r="B984" s="35"/>
      <c r="C984" s="69"/>
      <c r="D984" s="35"/>
      <c r="E984" s="35"/>
      <c r="F984" s="35"/>
      <c r="G984" s="35"/>
      <c r="H984" s="35"/>
      <c r="I984" s="35"/>
    </row>
    <row r="985" spans="1:9" ht="14.5">
      <c r="A985" s="35"/>
      <c r="B985" s="35"/>
      <c r="C985" s="69"/>
      <c r="D985" s="35"/>
      <c r="E985" s="35"/>
      <c r="F985" s="35"/>
      <c r="G985" s="35"/>
      <c r="H985" s="35"/>
      <c r="I985" s="35"/>
    </row>
    <row r="986" spans="1:9" ht="14.5">
      <c r="A986" s="35"/>
      <c r="B986" s="35"/>
      <c r="C986" s="69"/>
      <c r="D986" s="35"/>
      <c r="E986" s="35"/>
      <c r="F986" s="35"/>
      <c r="G986" s="35"/>
      <c r="H986" s="35"/>
      <c r="I986" s="35"/>
    </row>
    <row r="987" spans="1:9" ht="14.5">
      <c r="A987" s="35"/>
      <c r="B987" s="35"/>
      <c r="C987" s="69"/>
      <c r="D987" s="35"/>
      <c r="E987" s="35"/>
      <c r="F987" s="35"/>
      <c r="G987" s="35"/>
      <c r="H987" s="35"/>
      <c r="I987" s="35"/>
    </row>
    <row r="988" spans="1:9" ht="14.5">
      <c r="A988" s="35"/>
      <c r="B988" s="35"/>
      <c r="C988" s="69"/>
      <c r="D988" s="35"/>
      <c r="E988" s="35"/>
      <c r="F988" s="35"/>
      <c r="G988" s="35"/>
      <c r="H988" s="35"/>
      <c r="I988" s="35"/>
    </row>
    <row r="989" spans="1:9" ht="14.5">
      <c r="A989" s="35"/>
      <c r="B989" s="35"/>
      <c r="C989" s="69"/>
      <c r="D989" s="35"/>
      <c r="E989" s="35"/>
      <c r="F989" s="35"/>
      <c r="G989" s="35"/>
      <c r="H989" s="35"/>
      <c r="I989" s="35"/>
    </row>
    <row r="990" spans="1:9" ht="14.5">
      <c r="A990" s="35"/>
      <c r="B990" s="35"/>
      <c r="C990" s="69"/>
      <c r="D990" s="35"/>
      <c r="E990" s="35"/>
      <c r="F990" s="35"/>
      <c r="G990" s="35"/>
      <c r="H990" s="35"/>
      <c r="I990" s="35"/>
    </row>
    <row r="991" spans="1:9" ht="14.5">
      <c r="A991" s="35"/>
      <c r="B991" s="35"/>
      <c r="C991" s="69"/>
      <c r="D991" s="35"/>
      <c r="E991" s="35"/>
      <c r="F991" s="35"/>
      <c r="G991" s="35"/>
      <c r="H991" s="35"/>
      <c r="I991" s="35"/>
    </row>
    <row r="992" spans="1:9" ht="14.5">
      <c r="A992" s="35"/>
      <c r="B992" s="35"/>
      <c r="C992" s="69"/>
      <c r="D992" s="35"/>
      <c r="E992" s="35"/>
      <c r="F992" s="35"/>
      <c r="G992" s="35"/>
      <c r="H992" s="35"/>
      <c r="I992" s="35"/>
    </row>
    <row r="993" spans="1:9" ht="14.5">
      <c r="A993" s="35"/>
      <c r="B993" s="35"/>
      <c r="C993" s="69"/>
      <c r="D993" s="35"/>
      <c r="E993" s="35"/>
      <c r="F993" s="35"/>
      <c r="G993" s="35"/>
      <c r="H993" s="35"/>
      <c r="I993" s="35"/>
    </row>
    <row r="994" spans="1:9" ht="14.5">
      <c r="A994" s="35"/>
      <c r="B994" s="35"/>
      <c r="C994" s="69"/>
      <c r="D994" s="35"/>
      <c r="E994" s="35"/>
      <c r="F994" s="35"/>
      <c r="G994" s="35"/>
      <c r="H994" s="35"/>
      <c r="I994" s="35"/>
    </row>
    <row r="995" spans="1:9" ht="14.5">
      <c r="A995" s="35"/>
      <c r="B995" s="35"/>
      <c r="C995" s="69"/>
      <c r="D995" s="35"/>
      <c r="E995" s="35"/>
      <c r="F995" s="35"/>
      <c r="G995" s="35"/>
      <c r="H995" s="35"/>
      <c r="I995" s="35"/>
    </row>
    <row r="996" spans="1:9" ht="14.5">
      <c r="A996" s="35"/>
      <c r="B996" s="35"/>
      <c r="C996" s="69"/>
      <c r="D996" s="35"/>
      <c r="E996" s="35"/>
      <c r="F996" s="35"/>
      <c r="G996" s="35"/>
      <c r="H996" s="35"/>
      <c r="I996" s="35"/>
    </row>
    <row r="997" spans="1:9" ht="14.5">
      <c r="A997" s="35"/>
      <c r="B997" s="35"/>
      <c r="C997" s="69"/>
      <c r="D997" s="35"/>
      <c r="E997" s="35"/>
      <c r="F997" s="35"/>
      <c r="G997" s="35"/>
      <c r="H997" s="35"/>
      <c r="I997" s="35"/>
    </row>
    <row r="998" spans="1:9" ht="14.5">
      <c r="A998" s="35"/>
      <c r="B998" s="35"/>
      <c r="C998" s="69"/>
      <c r="D998" s="35"/>
      <c r="E998" s="35"/>
      <c r="F998" s="35"/>
      <c r="G998" s="35"/>
      <c r="H998" s="35"/>
      <c r="I998" s="35"/>
    </row>
    <row r="999" spans="1:9" ht="14.5">
      <c r="A999" s="35"/>
      <c r="B999" s="35"/>
      <c r="C999" s="69"/>
      <c r="D999" s="35"/>
      <c r="E999" s="35"/>
      <c r="F999" s="35"/>
      <c r="G999" s="35"/>
      <c r="H999" s="35"/>
      <c r="I999" s="35"/>
    </row>
    <row r="1000" spans="1:9" ht="14.5">
      <c r="A1000" s="35"/>
      <c r="B1000" s="35"/>
      <c r="C1000" s="69"/>
      <c r="D1000" s="35"/>
      <c r="E1000" s="35"/>
      <c r="F1000" s="35"/>
      <c r="G1000" s="35"/>
      <c r="H1000" s="35"/>
      <c r="I1000" s="35"/>
    </row>
    <row r="1001" spans="1:9" ht="14.5">
      <c r="A1001" s="35"/>
      <c r="B1001" s="35"/>
      <c r="C1001" s="69"/>
      <c r="D1001" s="35"/>
      <c r="E1001" s="35"/>
      <c r="F1001" s="35"/>
      <c r="G1001" s="35"/>
      <c r="H1001" s="35"/>
      <c r="I1001" s="35"/>
    </row>
    <row r="1002" spans="1:9" ht="14.5">
      <c r="A1002" s="35"/>
      <c r="B1002" s="35"/>
      <c r="C1002" s="69"/>
      <c r="D1002" s="35"/>
      <c r="E1002" s="35"/>
      <c r="F1002" s="35"/>
      <c r="G1002" s="35"/>
      <c r="H1002" s="35"/>
      <c r="I1002" s="35"/>
    </row>
    <row r="1003" spans="1:9" ht="14.5">
      <c r="A1003" s="35"/>
      <c r="B1003" s="35"/>
      <c r="C1003" s="69"/>
      <c r="D1003" s="35"/>
      <c r="E1003" s="35"/>
      <c r="F1003" s="35"/>
      <c r="G1003" s="35"/>
      <c r="H1003" s="35"/>
      <c r="I1003" s="35"/>
    </row>
    <row r="1004" spans="1:9" ht="14.5">
      <c r="A1004" s="35"/>
      <c r="B1004" s="35"/>
      <c r="C1004" s="69"/>
      <c r="D1004" s="35"/>
      <c r="E1004" s="35"/>
      <c r="F1004" s="35"/>
      <c r="G1004" s="35"/>
      <c r="H1004" s="35"/>
      <c r="I1004" s="35"/>
    </row>
    <row r="1005" spans="1:9" ht="14.5">
      <c r="A1005" s="35"/>
      <c r="B1005" s="35"/>
      <c r="C1005" s="69"/>
      <c r="D1005" s="35"/>
      <c r="E1005" s="35"/>
      <c r="F1005" s="35"/>
      <c r="G1005" s="35"/>
      <c r="H1005" s="35"/>
      <c r="I1005" s="35"/>
    </row>
    <row r="1006" spans="1:9" ht="14.5">
      <c r="A1006" s="35"/>
      <c r="B1006" s="35"/>
      <c r="C1006" s="69"/>
      <c r="D1006" s="35"/>
      <c r="E1006" s="35"/>
      <c r="F1006" s="35"/>
      <c r="G1006" s="35"/>
      <c r="H1006" s="35"/>
      <c r="I1006" s="35"/>
    </row>
    <row r="1007" spans="1:9" ht="14.5">
      <c r="A1007" s="35"/>
      <c r="B1007" s="35"/>
      <c r="C1007" s="69"/>
      <c r="D1007" s="35"/>
      <c r="E1007" s="35"/>
      <c r="F1007" s="35"/>
      <c r="G1007" s="35"/>
      <c r="H1007" s="35"/>
      <c r="I1007" s="35"/>
    </row>
    <row r="1008" spans="1:9" ht="14.5">
      <c r="A1008" s="35"/>
      <c r="B1008" s="35"/>
      <c r="C1008" s="69"/>
      <c r="D1008" s="35"/>
      <c r="E1008" s="35"/>
      <c r="F1008" s="35"/>
      <c r="G1008" s="35"/>
      <c r="H1008" s="35"/>
      <c r="I1008" s="35"/>
    </row>
    <row r="1009" spans="1:9" ht="14.5">
      <c r="A1009" s="35"/>
      <c r="B1009" s="35"/>
      <c r="C1009" s="69"/>
      <c r="D1009" s="35"/>
      <c r="E1009" s="35"/>
      <c r="F1009" s="35"/>
      <c r="G1009" s="35"/>
      <c r="H1009" s="35"/>
      <c r="I1009" s="35"/>
    </row>
    <row r="1010" spans="1:9" ht="14.5">
      <c r="A1010" s="35"/>
      <c r="B1010" s="35"/>
      <c r="C1010" s="69"/>
      <c r="D1010" s="35"/>
      <c r="E1010" s="35"/>
      <c r="F1010" s="35"/>
      <c r="G1010" s="35"/>
      <c r="H1010" s="35"/>
      <c r="I1010" s="35"/>
    </row>
    <row r="1011" spans="1:9" ht="14.5">
      <c r="A1011" s="35"/>
      <c r="B1011" s="35"/>
      <c r="C1011" s="69"/>
      <c r="D1011" s="35"/>
      <c r="E1011" s="35"/>
      <c r="F1011" s="35"/>
      <c r="G1011" s="35"/>
      <c r="H1011" s="35"/>
      <c r="I1011" s="35"/>
    </row>
    <row r="1012" spans="1:9" ht="14.5">
      <c r="A1012" s="35"/>
      <c r="B1012" s="35"/>
      <c r="C1012" s="69"/>
      <c r="D1012" s="35"/>
      <c r="E1012" s="35"/>
      <c r="F1012" s="35"/>
      <c r="G1012" s="35"/>
      <c r="H1012" s="35"/>
      <c r="I1012" s="35"/>
    </row>
    <row r="1013" spans="1:9" ht="14.5">
      <c r="A1013" s="35"/>
      <c r="B1013" s="35"/>
      <c r="C1013" s="69"/>
      <c r="D1013" s="35"/>
      <c r="E1013" s="35"/>
      <c r="F1013" s="35"/>
      <c r="G1013" s="35"/>
      <c r="H1013" s="35"/>
      <c r="I1013" s="35"/>
    </row>
    <row r="1014" spans="1:9" ht="14.5">
      <c r="A1014" s="35"/>
      <c r="B1014" s="35"/>
      <c r="C1014" s="69"/>
      <c r="D1014" s="35"/>
      <c r="E1014" s="35"/>
      <c r="F1014" s="35"/>
      <c r="G1014" s="35"/>
      <c r="H1014" s="35"/>
      <c r="I1014" s="35"/>
    </row>
    <row r="1015" spans="1:9" ht="14.5">
      <c r="A1015" s="35"/>
      <c r="B1015" s="35"/>
      <c r="C1015" s="69"/>
      <c r="D1015" s="35"/>
      <c r="E1015" s="35"/>
      <c r="F1015" s="35"/>
      <c r="G1015" s="35"/>
      <c r="H1015" s="35"/>
      <c r="I1015" s="35"/>
    </row>
    <row r="1016" spans="1:9" ht="14.5">
      <c r="A1016" s="35"/>
      <c r="B1016" s="35"/>
      <c r="C1016" s="69"/>
      <c r="D1016" s="35"/>
      <c r="E1016" s="35"/>
      <c r="F1016" s="35"/>
      <c r="G1016" s="35"/>
      <c r="H1016" s="35"/>
      <c r="I1016" s="35"/>
    </row>
    <row r="1017" spans="1:9" ht="14.5">
      <c r="A1017" s="35"/>
      <c r="B1017" s="35"/>
      <c r="C1017" s="69"/>
      <c r="D1017" s="35"/>
      <c r="E1017" s="35"/>
      <c r="F1017" s="35"/>
      <c r="G1017" s="35"/>
      <c r="H1017" s="35"/>
      <c r="I1017" s="35"/>
    </row>
    <row r="1018" spans="1:9" ht="14.5">
      <c r="A1018" s="35"/>
      <c r="B1018" s="35"/>
      <c r="C1018" s="69"/>
      <c r="D1018" s="35"/>
      <c r="E1018" s="35"/>
      <c r="F1018" s="35"/>
      <c r="G1018" s="35"/>
      <c r="H1018" s="35"/>
      <c r="I1018" s="35"/>
    </row>
    <row r="1019" spans="1:9" ht="14.5">
      <c r="A1019" s="35"/>
      <c r="B1019" s="35"/>
      <c r="C1019" s="69"/>
      <c r="D1019" s="35"/>
      <c r="E1019" s="35"/>
      <c r="F1019" s="35"/>
      <c r="G1019" s="35"/>
      <c r="H1019" s="35"/>
      <c r="I1019" s="35"/>
    </row>
    <row r="1020" spans="1:9" ht="14.5">
      <c r="A1020" s="35"/>
      <c r="B1020" s="35"/>
      <c r="C1020" s="69"/>
      <c r="D1020" s="35"/>
      <c r="E1020" s="35"/>
      <c r="F1020" s="35"/>
      <c r="G1020" s="35"/>
      <c r="H1020" s="35"/>
      <c r="I1020" s="35"/>
    </row>
    <row r="1021" spans="1:9" ht="14.5">
      <c r="A1021" s="35"/>
      <c r="B1021" s="35"/>
      <c r="C1021" s="69"/>
      <c r="D1021" s="35"/>
      <c r="E1021" s="35"/>
      <c r="F1021" s="35"/>
      <c r="G1021" s="35"/>
      <c r="H1021" s="35"/>
      <c r="I1021" s="35"/>
    </row>
    <row r="1022" spans="1:9" ht="14.5">
      <c r="A1022" s="35"/>
      <c r="B1022" s="35"/>
      <c r="C1022" s="69"/>
      <c r="D1022" s="35"/>
      <c r="E1022" s="35"/>
      <c r="F1022" s="35"/>
      <c r="G1022" s="35"/>
      <c r="H1022" s="35"/>
      <c r="I1022" s="35"/>
    </row>
    <row r="1023" spans="1:9" ht="14.5">
      <c r="A1023" s="35"/>
      <c r="B1023" s="35"/>
      <c r="C1023" s="69"/>
      <c r="D1023" s="35"/>
      <c r="E1023" s="35"/>
      <c r="F1023" s="35"/>
      <c r="G1023" s="35"/>
      <c r="H1023" s="35"/>
      <c r="I1023" s="35"/>
    </row>
    <row r="1024" spans="1:9" ht="14.5">
      <c r="A1024" s="35"/>
      <c r="B1024" s="35"/>
      <c r="C1024" s="69"/>
      <c r="D1024" s="35"/>
      <c r="E1024" s="35"/>
      <c r="F1024" s="35"/>
      <c r="G1024" s="35"/>
      <c r="H1024" s="35"/>
      <c r="I1024" s="35"/>
    </row>
    <row r="1025" spans="1:9" ht="14.5">
      <c r="A1025" s="35"/>
      <c r="B1025" s="35"/>
      <c r="C1025" s="69"/>
      <c r="D1025" s="35"/>
      <c r="E1025" s="35"/>
      <c r="F1025" s="35"/>
      <c r="G1025" s="35"/>
      <c r="H1025" s="35"/>
      <c r="I1025" s="35"/>
    </row>
    <row r="1026" spans="1:9" ht="14.5">
      <c r="A1026" s="35"/>
      <c r="B1026" s="35"/>
      <c r="C1026" s="69"/>
      <c r="D1026" s="35"/>
      <c r="E1026" s="35"/>
      <c r="F1026" s="35"/>
      <c r="G1026" s="35"/>
      <c r="H1026" s="35"/>
      <c r="I1026" s="35"/>
    </row>
    <row r="1027" spans="1:9" ht="14.5">
      <c r="A1027" s="35"/>
      <c r="B1027" s="35"/>
      <c r="C1027" s="69"/>
      <c r="D1027" s="35"/>
      <c r="E1027" s="35"/>
      <c r="F1027" s="35"/>
      <c r="G1027" s="35"/>
      <c r="H1027" s="35"/>
      <c r="I1027" s="35"/>
    </row>
    <row r="1028" spans="1:9" ht="14.5">
      <c r="A1028" s="35"/>
      <c r="B1028" s="35"/>
      <c r="C1028" s="69"/>
      <c r="D1028" s="35"/>
      <c r="E1028" s="35"/>
      <c r="F1028" s="35"/>
      <c r="G1028" s="35"/>
      <c r="H1028" s="35"/>
      <c r="I1028" s="35"/>
    </row>
    <row r="1029" spans="1:9" ht="14.5">
      <c r="A1029" s="35"/>
      <c r="B1029" s="35"/>
      <c r="C1029" s="69"/>
      <c r="D1029" s="35"/>
      <c r="E1029" s="35"/>
      <c r="F1029" s="35"/>
      <c r="G1029" s="35"/>
      <c r="H1029" s="35"/>
      <c r="I1029" s="35"/>
    </row>
    <row r="1030" spans="1:9" ht="14.5">
      <c r="A1030" s="35"/>
      <c r="B1030" s="35"/>
      <c r="C1030" s="69"/>
      <c r="D1030" s="35"/>
      <c r="E1030" s="35"/>
      <c r="F1030" s="35"/>
      <c r="G1030" s="35"/>
      <c r="H1030" s="35"/>
      <c r="I1030" s="35"/>
    </row>
    <row r="1031" spans="1:9" ht="14.5">
      <c r="A1031" s="35"/>
      <c r="B1031" s="35"/>
      <c r="C1031" s="69"/>
      <c r="D1031" s="35"/>
      <c r="E1031" s="35"/>
      <c r="F1031" s="35"/>
      <c r="G1031" s="35"/>
      <c r="H1031" s="35"/>
      <c r="I1031" s="35"/>
    </row>
    <row r="1032" spans="1:9" ht="14.5">
      <c r="A1032" s="35"/>
      <c r="B1032" s="35"/>
      <c r="C1032" s="69"/>
      <c r="D1032" s="35"/>
      <c r="E1032" s="35"/>
      <c r="F1032" s="35"/>
      <c r="G1032" s="35"/>
      <c r="H1032" s="35"/>
      <c r="I1032" s="35"/>
    </row>
    <row r="1033" spans="1:9" ht="14.5">
      <c r="A1033" s="35"/>
      <c r="B1033" s="35"/>
      <c r="C1033" s="69"/>
      <c r="D1033" s="35"/>
      <c r="E1033" s="35"/>
      <c r="F1033" s="35"/>
      <c r="G1033" s="35"/>
      <c r="H1033" s="35"/>
      <c r="I1033" s="35"/>
    </row>
    <row r="1034" spans="1:9" ht="14.5">
      <c r="A1034" s="35"/>
      <c r="B1034" s="35"/>
      <c r="C1034" s="69"/>
      <c r="D1034" s="35"/>
      <c r="E1034" s="35"/>
      <c r="F1034" s="35"/>
      <c r="G1034" s="35"/>
      <c r="H1034" s="35"/>
      <c r="I1034" s="35"/>
    </row>
    <row r="1035" spans="1:9" ht="14.5">
      <c r="A1035" s="35"/>
      <c r="B1035" s="35"/>
      <c r="C1035" s="69"/>
      <c r="D1035" s="35"/>
      <c r="E1035" s="35"/>
      <c r="F1035" s="35"/>
      <c r="G1035" s="35"/>
      <c r="H1035" s="35"/>
      <c r="I1035" s="35"/>
    </row>
    <row r="1036" spans="1:9" ht="14.5">
      <c r="A1036" s="35"/>
      <c r="B1036" s="35"/>
      <c r="C1036" s="69"/>
      <c r="D1036" s="35"/>
      <c r="E1036" s="35"/>
      <c r="F1036" s="35"/>
      <c r="G1036" s="35"/>
      <c r="H1036" s="35"/>
      <c r="I1036" s="35"/>
    </row>
    <row r="1037" spans="1:9" ht="14.5">
      <c r="A1037" s="35"/>
      <c r="B1037" s="35"/>
      <c r="C1037" s="69"/>
      <c r="D1037" s="35"/>
      <c r="E1037" s="35"/>
      <c r="F1037" s="35"/>
      <c r="G1037" s="35"/>
      <c r="H1037" s="35"/>
      <c r="I1037" s="35"/>
    </row>
    <row r="1038" spans="1:9" ht="14.5">
      <c r="A1038" s="35"/>
      <c r="B1038" s="35"/>
      <c r="C1038" s="69"/>
      <c r="D1038" s="35"/>
      <c r="E1038" s="35"/>
      <c r="F1038" s="35"/>
      <c r="G1038" s="35"/>
      <c r="H1038" s="35"/>
      <c r="I1038" s="35"/>
    </row>
    <row r="1039" spans="1:9" ht="14.5">
      <c r="A1039" s="35"/>
      <c r="B1039" s="35"/>
      <c r="C1039" s="69"/>
      <c r="D1039" s="35"/>
      <c r="E1039" s="35"/>
      <c r="F1039" s="35"/>
      <c r="G1039" s="35"/>
      <c r="H1039" s="35"/>
      <c r="I1039" s="35"/>
    </row>
    <row r="1040" spans="1:9" ht="14.5">
      <c r="A1040" s="35"/>
      <c r="B1040" s="35"/>
      <c r="C1040" s="69"/>
      <c r="D1040" s="35"/>
      <c r="E1040" s="35"/>
      <c r="F1040" s="35"/>
      <c r="G1040" s="35"/>
      <c r="H1040" s="35"/>
      <c r="I1040" s="35"/>
    </row>
    <row r="1041" spans="1:9" ht="14.5">
      <c r="A1041" s="35"/>
      <c r="B1041" s="35"/>
      <c r="C1041" s="69"/>
      <c r="D1041" s="35"/>
      <c r="E1041" s="35"/>
      <c r="F1041" s="35"/>
      <c r="G1041" s="35"/>
      <c r="H1041" s="35"/>
      <c r="I1041" s="35"/>
    </row>
    <row r="1042" spans="1:9" ht="14.5">
      <c r="A1042" s="35"/>
      <c r="B1042" s="35"/>
      <c r="C1042" s="69"/>
      <c r="D1042" s="35"/>
      <c r="E1042" s="35"/>
      <c r="F1042" s="35"/>
      <c r="G1042" s="35"/>
      <c r="H1042" s="35"/>
      <c r="I1042" s="35"/>
    </row>
    <row r="1043" spans="1:9" ht="14.5">
      <c r="A1043" s="35"/>
      <c r="B1043" s="35"/>
      <c r="C1043" s="69"/>
      <c r="D1043" s="35"/>
      <c r="E1043" s="35"/>
      <c r="F1043" s="35"/>
      <c r="G1043" s="35"/>
      <c r="H1043" s="35"/>
      <c r="I1043" s="35"/>
    </row>
    <row r="1044" spans="1:9" ht="14.5">
      <c r="A1044" s="35"/>
      <c r="B1044" s="35"/>
      <c r="C1044" s="69"/>
      <c r="D1044" s="35"/>
      <c r="E1044" s="35"/>
      <c r="F1044" s="35"/>
      <c r="G1044" s="35"/>
      <c r="H1044" s="35"/>
      <c r="I1044" s="35"/>
    </row>
    <row r="1045" spans="1:9" ht="14.5">
      <c r="A1045" s="35"/>
      <c r="B1045" s="35"/>
      <c r="C1045" s="69"/>
      <c r="D1045" s="35"/>
      <c r="E1045" s="35"/>
      <c r="F1045" s="35"/>
      <c r="G1045" s="35"/>
      <c r="H1045" s="35"/>
      <c r="I1045" s="35"/>
    </row>
    <row r="1046" spans="1:9" ht="14.5">
      <c r="A1046" s="35"/>
      <c r="B1046" s="35"/>
      <c r="C1046" s="69"/>
      <c r="D1046" s="35"/>
      <c r="E1046" s="35"/>
      <c r="F1046" s="35"/>
      <c r="G1046" s="35"/>
      <c r="H1046" s="35"/>
      <c r="I1046" s="35"/>
    </row>
    <row r="1047" spans="1:9" ht="14.5">
      <c r="A1047" s="35"/>
      <c r="B1047" s="35"/>
      <c r="C1047" s="69"/>
      <c r="D1047" s="35"/>
      <c r="E1047" s="35"/>
      <c r="F1047" s="35"/>
      <c r="G1047" s="35"/>
      <c r="H1047" s="35"/>
      <c r="I1047" s="35"/>
    </row>
    <row r="1048" spans="1:9" ht="14.5">
      <c r="A1048" s="35"/>
      <c r="B1048" s="35"/>
      <c r="C1048" s="69"/>
      <c r="D1048" s="35"/>
      <c r="E1048" s="35"/>
      <c r="F1048" s="35"/>
      <c r="G1048" s="35"/>
      <c r="H1048" s="35"/>
      <c r="I1048" s="35"/>
    </row>
    <row r="1049" spans="1:9" ht="14.5">
      <c r="A1049" s="35"/>
      <c r="B1049" s="35"/>
      <c r="C1049" s="69"/>
      <c r="D1049" s="35"/>
      <c r="E1049" s="35"/>
      <c r="F1049" s="35"/>
      <c r="G1049" s="35"/>
      <c r="H1049" s="35"/>
      <c r="I1049" s="35"/>
    </row>
    <row r="1050" spans="1:9" ht="14.5">
      <c r="A1050" s="35"/>
      <c r="B1050" s="35"/>
      <c r="C1050" s="69"/>
      <c r="D1050" s="35"/>
      <c r="E1050" s="35"/>
      <c r="F1050" s="35"/>
      <c r="G1050" s="35"/>
      <c r="H1050" s="35"/>
      <c r="I1050" s="35"/>
    </row>
    <row r="1051" spans="1:9" ht="14.5">
      <c r="A1051" s="35"/>
      <c r="B1051" s="35"/>
      <c r="C1051" s="69"/>
      <c r="D1051" s="35"/>
      <c r="E1051" s="35"/>
      <c r="F1051" s="35"/>
      <c r="G1051" s="35"/>
      <c r="H1051" s="35"/>
      <c r="I1051" s="35"/>
    </row>
    <row r="1052" spans="1:9" ht="14.5">
      <c r="A1052" s="35"/>
      <c r="B1052" s="35"/>
      <c r="C1052" s="69"/>
      <c r="D1052" s="35"/>
      <c r="E1052" s="35"/>
      <c r="F1052" s="35"/>
      <c r="G1052" s="35"/>
      <c r="H1052" s="35"/>
      <c r="I1052" s="35"/>
    </row>
    <row r="1053" spans="1:9" ht="14.5">
      <c r="A1053" s="35"/>
      <c r="B1053" s="35"/>
      <c r="C1053" s="69"/>
      <c r="D1053" s="35"/>
      <c r="E1053" s="35"/>
      <c r="F1053" s="35"/>
      <c r="G1053" s="35"/>
      <c r="H1053" s="35"/>
      <c r="I1053" s="35"/>
    </row>
    <row r="1054" spans="1:9" ht="14.5">
      <c r="A1054" s="35"/>
      <c r="B1054" s="35"/>
      <c r="C1054" s="69"/>
      <c r="D1054" s="35"/>
      <c r="E1054" s="35"/>
      <c r="F1054" s="35"/>
      <c r="G1054" s="35"/>
      <c r="H1054" s="35"/>
      <c r="I1054" s="35"/>
    </row>
    <row r="1055" spans="1:9" ht="14.5">
      <c r="A1055" s="35"/>
      <c r="B1055" s="35"/>
      <c r="C1055" s="69"/>
      <c r="D1055" s="35"/>
      <c r="E1055" s="35"/>
      <c r="F1055" s="35"/>
      <c r="G1055" s="35"/>
      <c r="H1055" s="35"/>
      <c r="I1055" s="35"/>
    </row>
    <row r="1056" spans="1:9" ht="14.5">
      <c r="A1056" s="35"/>
      <c r="B1056" s="35"/>
      <c r="C1056" s="69"/>
      <c r="D1056" s="35"/>
      <c r="E1056" s="35"/>
      <c r="F1056" s="35"/>
      <c r="G1056" s="35"/>
      <c r="H1056" s="35"/>
      <c r="I1056" s="35"/>
    </row>
    <row r="1057" spans="1:9" ht="14.5">
      <c r="A1057" s="35"/>
      <c r="B1057" s="35"/>
      <c r="C1057" s="69"/>
      <c r="D1057" s="35"/>
      <c r="E1057" s="35"/>
      <c r="F1057" s="35"/>
      <c r="G1057" s="35"/>
      <c r="H1057" s="35"/>
      <c r="I1057" s="35"/>
    </row>
    <row r="1058" spans="1:9" ht="14.5">
      <c r="A1058" s="35"/>
      <c r="B1058" s="35"/>
      <c r="C1058" s="69"/>
      <c r="D1058" s="35"/>
      <c r="E1058" s="35"/>
      <c r="F1058" s="35"/>
      <c r="G1058" s="35"/>
      <c r="H1058" s="35"/>
      <c r="I1058" s="35"/>
    </row>
    <row r="1059" spans="1:9" ht="14.5">
      <c r="A1059" s="35"/>
      <c r="B1059" s="35"/>
      <c r="C1059" s="69"/>
      <c r="D1059" s="35"/>
      <c r="E1059" s="35"/>
      <c r="F1059" s="35"/>
      <c r="G1059" s="35"/>
      <c r="H1059" s="35"/>
      <c r="I1059" s="35"/>
    </row>
    <row r="1060" spans="1:9" ht="14.5">
      <c r="A1060" s="35"/>
      <c r="B1060" s="35"/>
      <c r="C1060" s="69"/>
      <c r="D1060" s="35"/>
      <c r="E1060" s="35"/>
      <c r="F1060" s="35"/>
      <c r="G1060" s="35"/>
      <c r="H1060" s="35"/>
      <c r="I1060" s="35"/>
    </row>
    <row r="1061" spans="1:9" ht="14.5">
      <c r="A1061" s="35"/>
      <c r="B1061" s="35"/>
      <c r="C1061" s="69"/>
      <c r="D1061" s="35"/>
      <c r="E1061" s="35"/>
      <c r="F1061" s="35"/>
      <c r="G1061" s="35"/>
      <c r="H1061" s="35"/>
      <c r="I1061" s="35"/>
    </row>
    <row r="1062" spans="1:9" ht="14.5">
      <c r="A1062" s="35"/>
      <c r="B1062" s="35"/>
      <c r="C1062" s="69"/>
      <c r="D1062" s="35"/>
      <c r="E1062" s="35"/>
      <c r="F1062" s="35"/>
      <c r="G1062" s="35"/>
      <c r="H1062" s="35"/>
      <c r="I1062" s="35"/>
    </row>
    <row r="1063" spans="1:9" ht="14.5">
      <c r="A1063" s="35"/>
      <c r="B1063" s="35"/>
      <c r="C1063" s="69"/>
      <c r="D1063" s="35"/>
      <c r="E1063" s="35"/>
      <c r="F1063" s="35"/>
      <c r="G1063" s="35"/>
      <c r="H1063" s="35"/>
      <c r="I1063" s="35"/>
    </row>
    <row r="1064" spans="1:9" ht="14.5">
      <c r="A1064" s="35"/>
      <c r="B1064" s="35"/>
      <c r="C1064" s="69"/>
      <c r="D1064" s="35"/>
      <c r="E1064" s="35"/>
      <c r="F1064" s="35"/>
      <c r="G1064" s="35"/>
      <c r="H1064" s="35"/>
      <c r="I1064" s="35"/>
    </row>
    <row r="1065" spans="1:9" ht="14.5">
      <c r="A1065" s="35"/>
      <c r="B1065" s="35"/>
      <c r="C1065" s="69"/>
      <c r="D1065" s="35"/>
      <c r="E1065" s="35"/>
      <c r="F1065" s="35"/>
      <c r="G1065" s="35"/>
      <c r="H1065" s="35"/>
      <c r="I1065" s="35"/>
    </row>
    <row r="1066" spans="1:9" ht="14.5">
      <c r="A1066" s="35"/>
      <c r="B1066" s="35"/>
      <c r="C1066" s="69"/>
      <c r="D1066" s="35"/>
      <c r="E1066" s="35"/>
      <c r="F1066" s="35"/>
      <c r="G1066" s="35"/>
      <c r="H1066" s="35"/>
      <c r="I1066" s="35"/>
    </row>
    <row r="1067" spans="1:9" ht="14.5">
      <c r="A1067" s="35"/>
      <c r="B1067" s="35"/>
      <c r="C1067" s="69"/>
      <c r="D1067" s="35"/>
      <c r="E1067" s="35"/>
      <c r="F1067" s="35"/>
      <c r="G1067" s="35"/>
      <c r="H1067" s="35"/>
      <c r="I1067" s="35"/>
    </row>
    <row r="1068" spans="1:9" ht="14.5">
      <c r="A1068" s="35"/>
      <c r="B1068" s="35"/>
      <c r="C1068" s="69"/>
      <c r="D1068" s="35"/>
      <c r="E1068" s="35"/>
      <c r="F1068" s="35"/>
      <c r="G1068" s="35"/>
      <c r="H1068" s="35"/>
      <c r="I1068" s="35"/>
    </row>
    <row r="1069" spans="1:9" ht="14.5">
      <c r="A1069" s="35"/>
      <c r="B1069" s="35"/>
      <c r="C1069" s="69"/>
      <c r="D1069" s="35"/>
      <c r="E1069" s="35"/>
      <c r="F1069" s="35"/>
      <c r="G1069" s="35"/>
      <c r="H1069" s="35"/>
      <c r="I1069" s="35"/>
    </row>
    <row r="1070" spans="1:9" ht="14.5">
      <c r="A1070" s="35"/>
      <c r="B1070" s="35"/>
      <c r="C1070" s="69"/>
      <c r="D1070" s="35"/>
      <c r="E1070" s="35"/>
      <c r="F1070" s="35"/>
      <c r="G1070" s="35"/>
      <c r="H1070" s="35"/>
      <c r="I1070" s="35"/>
    </row>
    <row r="1071" spans="1:9" ht="14.5">
      <c r="A1071" s="35"/>
      <c r="B1071" s="35"/>
      <c r="C1071" s="69"/>
      <c r="D1071" s="35"/>
      <c r="E1071" s="35"/>
      <c r="F1071" s="35"/>
      <c r="G1071" s="35"/>
      <c r="H1071" s="35"/>
      <c r="I1071" s="35"/>
    </row>
    <row r="1072" spans="1:9" ht="14.5">
      <c r="A1072" s="35"/>
      <c r="B1072" s="35"/>
      <c r="C1072" s="69"/>
      <c r="D1072" s="35"/>
      <c r="E1072" s="35"/>
      <c r="F1072" s="35"/>
      <c r="G1072" s="35"/>
      <c r="H1072" s="35"/>
      <c r="I1072" s="35"/>
    </row>
    <row r="1073" spans="1:9" ht="14.5">
      <c r="A1073" s="35"/>
      <c r="B1073" s="35"/>
      <c r="C1073" s="69"/>
      <c r="D1073" s="35"/>
      <c r="E1073" s="35"/>
      <c r="F1073" s="35"/>
      <c r="G1073" s="35"/>
      <c r="H1073" s="35"/>
      <c r="I1073" s="35"/>
    </row>
    <row r="1074" spans="1:9" ht="14.5">
      <c r="A1074" s="35"/>
      <c r="B1074" s="35"/>
      <c r="C1074" s="69"/>
      <c r="D1074" s="35"/>
      <c r="E1074" s="35"/>
      <c r="F1074" s="35"/>
      <c r="G1074" s="35"/>
      <c r="H1074" s="35"/>
      <c r="I1074" s="35"/>
    </row>
    <row r="1075" spans="1:9" ht="14.5">
      <c r="A1075" s="35"/>
      <c r="B1075" s="35"/>
      <c r="C1075" s="69"/>
      <c r="D1075" s="35"/>
      <c r="E1075" s="35"/>
      <c r="F1075" s="35"/>
      <c r="G1075" s="35"/>
      <c r="H1075" s="35"/>
      <c r="I1075" s="35"/>
    </row>
    <row r="1076" spans="1:9" ht="14.5">
      <c r="A1076" s="35"/>
      <c r="B1076" s="35"/>
      <c r="C1076" s="69"/>
      <c r="D1076" s="35"/>
      <c r="E1076" s="35"/>
      <c r="F1076" s="35"/>
      <c r="G1076" s="35"/>
      <c r="H1076" s="35"/>
      <c r="I1076" s="35"/>
    </row>
    <row r="1077" spans="1:9" ht="14.5">
      <c r="A1077" s="35"/>
      <c r="B1077" s="35"/>
      <c r="C1077" s="69"/>
      <c r="D1077" s="35"/>
      <c r="E1077" s="35"/>
      <c r="F1077" s="35"/>
      <c r="G1077" s="35"/>
      <c r="H1077" s="35"/>
      <c r="I1077" s="35"/>
    </row>
    <row r="1078" spans="1:9" ht="14.5">
      <c r="A1078" s="35"/>
      <c r="B1078" s="35"/>
      <c r="C1078" s="69"/>
      <c r="D1078" s="35"/>
      <c r="E1078" s="35"/>
      <c r="F1078" s="35"/>
      <c r="G1078" s="35"/>
      <c r="H1078" s="35"/>
      <c r="I1078" s="35"/>
    </row>
    <row r="1079" spans="1:9" ht="14.5">
      <c r="A1079" s="35"/>
      <c r="B1079" s="35"/>
      <c r="C1079" s="69"/>
      <c r="D1079" s="35"/>
      <c r="E1079" s="35"/>
      <c r="F1079" s="35"/>
      <c r="G1079" s="35"/>
      <c r="H1079" s="35"/>
      <c r="I1079" s="35"/>
    </row>
    <row r="1080" spans="1:9" ht="14.5">
      <c r="A1080" s="35"/>
      <c r="B1080" s="35"/>
      <c r="C1080" s="69"/>
      <c r="D1080" s="35"/>
      <c r="E1080" s="35"/>
      <c r="F1080" s="35"/>
      <c r="G1080" s="35"/>
      <c r="H1080" s="35"/>
      <c r="I1080" s="35"/>
    </row>
    <row r="1081" spans="1:9" ht="14.5">
      <c r="A1081" s="35"/>
      <c r="B1081" s="35"/>
      <c r="C1081" s="69"/>
      <c r="D1081" s="35"/>
      <c r="E1081" s="35"/>
      <c r="F1081" s="35"/>
      <c r="G1081" s="35"/>
      <c r="H1081" s="35"/>
      <c r="I1081" s="35"/>
    </row>
    <row r="1082" spans="1:9" ht="14.5">
      <c r="A1082" s="35"/>
      <c r="B1082" s="35"/>
      <c r="C1082" s="69"/>
      <c r="D1082" s="35"/>
      <c r="E1082" s="35"/>
      <c r="F1082" s="35"/>
      <c r="G1082" s="35"/>
      <c r="H1082" s="35"/>
      <c r="I1082" s="35"/>
    </row>
    <row r="1083" spans="1:9" ht="14.5">
      <c r="A1083" s="35"/>
      <c r="B1083" s="35"/>
      <c r="C1083" s="69"/>
      <c r="D1083" s="35"/>
      <c r="E1083" s="35"/>
      <c r="F1083" s="35"/>
      <c r="G1083" s="35"/>
      <c r="H1083" s="35"/>
      <c r="I1083" s="35"/>
    </row>
    <row r="1084" spans="1:9" ht="14.5">
      <c r="A1084" s="35"/>
      <c r="B1084" s="35"/>
      <c r="C1084" s="69"/>
      <c r="D1084" s="35"/>
      <c r="E1084" s="35"/>
      <c r="F1084" s="35"/>
      <c r="G1084" s="35"/>
      <c r="H1084" s="35"/>
      <c r="I1084" s="35"/>
    </row>
    <row r="1085" spans="1:9" ht="14.5">
      <c r="A1085" s="35"/>
      <c r="B1085" s="35"/>
      <c r="C1085" s="69"/>
      <c r="D1085" s="35"/>
      <c r="E1085" s="35"/>
      <c r="F1085" s="35"/>
      <c r="G1085" s="35"/>
      <c r="H1085" s="35"/>
      <c r="I1085" s="35"/>
    </row>
    <row r="1086" spans="1:9" ht="14.5">
      <c r="A1086" s="35"/>
      <c r="B1086" s="35"/>
      <c r="C1086" s="69"/>
      <c r="D1086" s="35"/>
      <c r="E1086" s="35"/>
      <c r="F1086" s="35"/>
      <c r="G1086" s="35"/>
      <c r="H1086" s="35"/>
      <c r="I1086" s="35"/>
    </row>
    <row r="1087" spans="1:9" ht="14.5">
      <c r="A1087" s="35"/>
      <c r="B1087" s="35"/>
      <c r="C1087" s="69"/>
      <c r="D1087" s="35"/>
      <c r="E1087" s="35"/>
      <c r="F1087" s="35"/>
      <c r="G1087" s="35"/>
      <c r="H1087" s="35"/>
      <c r="I1087" s="35"/>
    </row>
    <row r="1088" spans="1:9" ht="14.5">
      <c r="A1088" s="35"/>
      <c r="B1088" s="35"/>
      <c r="C1088" s="69"/>
      <c r="D1088" s="35"/>
      <c r="E1088" s="35"/>
      <c r="F1088" s="35"/>
      <c r="G1088" s="35"/>
      <c r="H1088" s="35"/>
      <c r="I1088" s="35"/>
    </row>
    <row r="1089" spans="1:9" ht="14.5">
      <c r="A1089" s="35"/>
      <c r="B1089" s="35"/>
      <c r="C1089" s="69"/>
      <c r="D1089" s="35"/>
      <c r="E1089" s="35"/>
      <c r="F1089" s="35"/>
      <c r="G1089" s="35"/>
      <c r="H1089" s="35"/>
      <c r="I1089" s="35"/>
    </row>
    <row r="1090" spans="1:9" ht="14.5">
      <c r="A1090" s="35"/>
      <c r="B1090" s="35"/>
      <c r="C1090" s="69"/>
      <c r="D1090" s="35"/>
      <c r="E1090" s="35"/>
      <c r="F1090" s="35"/>
      <c r="G1090" s="35"/>
      <c r="H1090" s="35"/>
      <c r="I1090" s="35"/>
    </row>
    <row r="1091" spans="1:9" ht="14.5">
      <c r="A1091" s="35"/>
      <c r="B1091" s="35"/>
      <c r="C1091" s="69"/>
      <c r="D1091" s="35"/>
      <c r="E1091" s="35"/>
      <c r="F1091" s="35"/>
      <c r="G1091" s="35"/>
      <c r="H1091" s="35"/>
      <c r="I1091" s="35"/>
    </row>
    <row r="1092" spans="1:9" ht="14.5">
      <c r="A1092" s="35"/>
      <c r="B1092" s="35"/>
      <c r="C1092" s="69"/>
      <c r="D1092" s="35"/>
      <c r="E1092" s="35"/>
      <c r="F1092" s="35"/>
      <c r="G1092" s="35"/>
      <c r="H1092" s="35"/>
      <c r="I1092" s="35"/>
    </row>
    <row r="1093" spans="1:9" ht="14.5">
      <c r="A1093" s="35"/>
      <c r="B1093" s="35"/>
      <c r="C1093" s="69"/>
      <c r="D1093" s="35"/>
      <c r="E1093" s="35"/>
      <c r="F1093" s="35"/>
      <c r="G1093" s="35"/>
      <c r="H1093" s="35"/>
      <c r="I1093" s="35"/>
    </row>
    <row r="1094" spans="1:9" ht="14.5">
      <c r="A1094" s="35"/>
      <c r="B1094" s="35"/>
      <c r="C1094" s="69"/>
      <c r="D1094" s="35"/>
      <c r="E1094" s="35"/>
      <c r="F1094" s="35"/>
      <c r="G1094" s="35"/>
      <c r="H1094" s="35"/>
      <c r="I1094" s="35"/>
    </row>
    <row r="1095" spans="1:9" ht="14.5">
      <c r="A1095" s="35"/>
      <c r="B1095" s="35"/>
      <c r="C1095" s="69"/>
      <c r="D1095" s="35"/>
      <c r="E1095" s="35"/>
      <c r="F1095" s="35"/>
      <c r="G1095" s="35"/>
      <c r="H1095" s="35"/>
      <c r="I1095" s="35"/>
    </row>
    <row r="1096" spans="1:9" ht="14.5">
      <c r="A1096" s="35"/>
      <c r="B1096" s="35"/>
      <c r="C1096" s="69"/>
      <c r="D1096" s="35"/>
      <c r="E1096" s="35"/>
      <c r="F1096" s="35"/>
      <c r="G1096" s="35"/>
      <c r="H1096" s="35"/>
      <c r="I1096" s="35"/>
    </row>
    <row r="1097" spans="1:9" ht="14.5">
      <c r="A1097" s="35"/>
      <c r="B1097" s="35"/>
      <c r="C1097" s="69"/>
      <c r="D1097" s="35"/>
      <c r="E1097" s="35"/>
      <c r="F1097" s="35"/>
      <c r="G1097" s="35"/>
      <c r="H1097" s="35"/>
      <c r="I1097" s="35"/>
    </row>
    <row r="1098" spans="1:9" ht="14.5">
      <c r="A1098" s="35"/>
      <c r="B1098" s="35"/>
      <c r="C1098" s="69"/>
      <c r="D1098" s="35"/>
      <c r="E1098" s="35"/>
      <c r="F1098" s="35"/>
      <c r="G1098" s="35"/>
      <c r="H1098" s="35"/>
      <c r="I1098" s="35"/>
    </row>
    <row r="1099" spans="1:9" ht="14.5">
      <c r="A1099" s="35"/>
      <c r="B1099" s="35"/>
      <c r="C1099" s="69"/>
      <c r="D1099" s="35"/>
      <c r="E1099" s="35"/>
      <c r="F1099" s="35"/>
      <c r="G1099" s="35"/>
      <c r="H1099" s="35"/>
      <c r="I1099" s="35"/>
    </row>
    <row r="1100" spans="1:9" ht="14.5">
      <c r="A1100" s="35"/>
      <c r="B1100" s="35"/>
      <c r="C1100" s="69"/>
      <c r="D1100" s="35"/>
      <c r="E1100" s="35"/>
      <c r="F1100" s="35"/>
      <c r="G1100" s="35"/>
      <c r="H1100" s="35"/>
      <c r="I1100" s="35"/>
    </row>
    <row r="1101" spans="1:9" ht="14.5">
      <c r="A1101" s="35"/>
      <c r="B1101" s="35"/>
      <c r="C1101" s="69"/>
      <c r="D1101" s="35"/>
      <c r="E1101" s="35"/>
      <c r="F1101" s="35"/>
      <c r="G1101" s="35"/>
      <c r="H1101" s="35"/>
      <c r="I1101" s="35"/>
    </row>
    <row r="1102" spans="1:9" ht="14.5">
      <c r="A1102" s="35"/>
      <c r="B1102" s="35"/>
      <c r="C1102" s="69"/>
      <c r="D1102" s="35"/>
      <c r="E1102" s="35"/>
      <c r="F1102" s="35"/>
      <c r="G1102" s="35"/>
      <c r="H1102" s="35"/>
      <c r="I1102" s="35"/>
    </row>
    <row r="1103" spans="1:9" ht="14.5">
      <c r="A1103" s="35"/>
      <c r="B1103" s="35"/>
      <c r="C1103" s="69"/>
      <c r="D1103" s="35"/>
      <c r="E1103" s="35"/>
      <c r="F1103" s="35"/>
      <c r="G1103" s="35"/>
      <c r="H1103" s="35"/>
      <c r="I1103" s="35"/>
    </row>
    <row r="1104" spans="1:9" ht="14.5">
      <c r="A1104" s="35"/>
      <c r="B1104" s="35"/>
      <c r="C1104" s="69"/>
      <c r="D1104" s="35"/>
      <c r="E1104" s="35"/>
      <c r="F1104" s="35"/>
      <c r="G1104" s="35"/>
      <c r="H1104" s="35"/>
      <c r="I1104" s="35"/>
    </row>
    <row r="1105" spans="1:9" ht="14.5">
      <c r="A1105" s="35"/>
      <c r="B1105" s="35"/>
      <c r="C1105" s="69"/>
      <c r="D1105" s="35"/>
      <c r="E1105" s="35"/>
      <c r="F1105" s="35"/>
      <c r="G1105" s="35"/>
      <c r="H1105" s="35"/>
      <c r="I1105" s="35"/>
    </row>
    <row r="1106" spans="1:9" ht="14.5">
      <c r="A1106" s="35"/>
      <c r="B1106" s="35"/>
      <c r="C1106" s="69"/>
      <c r="D1106" s="35"/>
      <c r="E1106" s="35"/>
      <c r="F1106" s="35"/>
      <c r="G1106" s="35"/>
      <c r="H1106" s="35"/>
      <c r="I1106" s="35"/>
    </row>
    <row r="1107" spans="1:9" ht="14.5">
      <c r="A1107" s="35"/>
      <c r="B1107" s="35"/>
      <c r="C1107" s="69"/>
      <c r="D1107" s="35"/>
      <c r="E1107" s="35"/>
      <c r="F1107" s="35"/>
      <c r="G1107" s="35"/>
      <c r="H1107" s="35"/>
      <c r="I1107" s="35"/>
    </row>
    <row r="1108" spans="1:9" ht="14.5">
      <c r="A1108" s="35"/>
      <c r="B1108" s="35"/>
      <c r="C1108" s="69"/>
      <c r="D1108" s="35"/>
      <c r="E1108" s="35"/>
      <c r="F1108" s="35"/>
      <c r="G1108" s="35"/>
      <c r="H1108" s="35"/>
      <c r="I1108" s="35"/>
    </row>
    <row r="1109" spans="1:9" ht="14.5">
      <c r="A1109" s="35"/>
      <c r="B1109" s="35"/>
      <c r="C1109" s="69"/>
      <c r="D1109" s="35"/>
      <c r="E1109" s="35"/>
      <c r="F1109" s="35"/>
      <c r="G1109" s="35"/>
      <c r="H1109" s="35"/>
      <c r="I1109" s="35"/>
    </row>
    <row r="1110" spans="1:9" ht="14.5">
      <c r="A1110" s="35"/>
      <c r="B1110" s="35"/>
      <c r="C1110" s="69"/>
      <c r="D1110" s="35"/>
      <c r="E1110" s="35"/>
      <c r="F1110" s="35"/>
      <c r="G1110" s="35"/>
      <c r="H1110" s="35"/>
      <c r="I1110" s="35"/>
    </row>
    <row r="1111" spans="1:9" ht="14.5">
      <c r="A1111" s="35"/>
      <c r="B1111" s="35"/>
      <c r="C1111" s="69"/>
      <c r="D1111" s="35"/>
      <c r="E1111" s="35"/>
      <c r="F1111" s="35"/>
      <c r="G1111" s="35"/>
      <c r="H1111" s="35"/>
      <c r="I1111" s="35"/>
    </row>
    <row r="1112" spans="1:9" ht="14.5">
      <c r="A1112" s="35"/>
      <c r="B1112" s="35"/>
      <c r="C1112" s="69"/>
      <c r="D1112" s="35"/>
      <c r="E1112" s="35"/>
      <c r="F1112" s="35"/>
      <c r="G1112" s="35"/>
      <c r="H1112" s="35"/>
      <c r="I1112" s="35"/>
    </row>
    <row r="1113" spans="1:9" ht="14.5">
      <c r="A1113" s="35"/>
      <c r="B1113" s="35"/>
      <c r="C1113" s="69"/>
      <c r="D1113" s="35"/>
      <c r="E1113" s="35"/>
      <c r="F1113" s="35"/>
      <c r="G1113" s="35"/>
      <c r="H1113" s="35"/>
      <c r="I1113" s="35"/>
    </row>
    <row r="1114" spans="1:9" ht="14.5">
      <c r="A1114" s="35"/>
      <c r="B1114" s="35"/>
      <c r="C1114" s="69"/>
      <c r="D1114" s="35"/>
      <c r="E1114" s="35"/>
      <c r="F1114" s="35"/>
      <c r="G1114" s="35"/>
      <c r="H1114" s="35"/>
      <c r="I1114" s="35"/>
    </row>
    <row r="1115" spans="1:9" ht="14.5">
      <c r="A1115" s="35"/>
      <c r="B1115" s="35"/>
      <c r="C1115" s="69"/>
      <c r="D1115" s="35"/>
      <c r="E1115" s="35"/>
      <c r="F1115" s="35"/>
      <c r="G1115" s="35"/>
      <c r="H1115" s="35"/>
      <c r="I1115" s="35"/>
    </row>
    <row r="1116" spans="1:9" ht="14.5">
      <c r="A1116" s="35"/>
      <c r="B1116" s="35"/>
      <c r="C1116" s="69"/>
      <c r="D1116" s="35"/>
      <c r="E1116" s="35"/>
      <c r="F1116" s="35"/>
      <c r="G1116" s="35"/>
      <c r="H1116" s="35"/>
      <c r="I1116" s="35"/>
    </row>
    <row r="1117" spans="1:9" ht="14.5">
      <c r="A1117" s="35"/>
      <c r="B1117" s="35"/>
      <c r="C1117" s="69"/>
      <c r="D1117" s="35"/>
      <c r="E1117" s="35"/>
      <c r="F1117" s="35"/>
      <c r="G1117" s="35"/>
      <c r="H1117" s="35"/>
      <c r="I1117" s="35"/>
    </row>
    <row r="1118" spans="1:9" ht="14.5">
      <c r="A1118" s="35"/>
      <c r="B1118" s="35"/>
      <c r="C1118" s="69"/>
      <c r="D1118" s="35"/>
      <c r="E1118" s="35"/>
      <c r="F1118" s="35"/>
      <c r="G1118" s="35"/>
      <c r="H1118" s="35"/>
      <c r="I1118" s="35"/>
    </row>
    <row r="1119" spans="1:9" ht="14.5">
      <c r="A1119" s="35"/>
      <c r="B1119" s="35"/>
      <c r="C1119" s="69"/>
      <c r="D1119" s="35"/>
      <c r="E1119" s="35"/>
      <c r="F1119" s="35"/>
      <c r="G1119" s="35"/>
      <c r="H1119" s="35"/>
      <c r="I1119" s="35"/>
    </row>
    <row r="1120" spans="1:9" ht="14.5">
      <c r="A1120" s="35"/>
      <c r="B1120" s="35"/>
      <c r="C1120" s="69"/>
      <c r="D1120" s="35"/>
      <c r="E1120" s="35"/>
      <c r="F1120" s="35"/>
      <c r="G1120" s="35"/>
      <c r="H1120" s="35"/>
      <c r="I1120" s="35"/>
    </row>
    <row r="1121" spans="1:9" ht="14.5">
      <c r="A1121" s="35"/>
      <c r="B1121" s="35"/>
      <c r="C1121" s="69"/>
      <c r="D1121" s="35"/>
      <c r="E1121" s="35"/>
      <c r="F1121" s="35"/>
      <c r="G1121" s="35"/>
      <c r="H1121" s="35"/>
      <c r="I1121" s="35"/>
    </row>
    <row r="1122" spans="1:9" ht="14.5">
      <c r="A1122" s="35"/>
      <c r="B1122" s="35"/>
      <c r="C1122" s="69"/>
      <c r="D1122" s="35"/>
      <c r="E1122" s="35"/>
      <c r="F1122" s="35"/>
      <c r="G1122" s="35"/>
      <c r="H1122" s="35"/>
      <c r="I1122" s="35"/>
    </row>
    <row r="1123" spans="1:9" ht="14.5">
      <c r="A1123" s="35"/>
      <c r="B1123" s="35"/>
      <c r="C1123" s="69"/>
      <c r="D1123" s="35"/>
      <c r="E1123" s="35"/>
      <c r="F1123" s="35"/>
      <c r="G1123" s="35"/>
      <c r="H1123" s="35"/>
      <c r="I1123" s="35"/>
    </row>
    <row r="1124" spans="1:9" ht="14.5">
      <c r="A1124" s="35"/>
      <c r="B1124" s="35"/>
      <c r="C1124" s="69"/>
      <c r="D1124" s="35"/>
      <c r="E1124" s="35"/>
      <c r="F1124" s="35"/>
      <c r="G1124" s="35"/>
      <c r="H1124" s="35"/>
      <c r="I1124" s="35"/>
    </row>
    <row r="1125" spans="1:9" ht="14.5">
      <c r="A1125" s="35"/>
      <c r="B1125" s="35"/>
      <c r="C1125" s="69"/>
      <c r="D1125" s="35"/>
      <c r="E1125" s="35"/>
      <c r="F1125" s="35"/>
      <c r="G1125" s="35"/>
      <c r="H1125" s="35"/>
      <c r="I1125" s="35"/>
    </row>
    <row r="1126" spans="1:9" ht="14.5">
      <c r="A1126" s="35"/>
      <c r="B1126" s="35"/>
      <c r="C1126" s="69"/>
      <c r="D1126" s="35"/>
      <c r="E1126" s="35"/>
      <c r="F1126" s="35"/>
      <c r="G1126" s="35"/>
      <c r="H1126" s="35"/>
      <c r="I1126" s="35"/>
    </row>
    <row r="1127" spans="1:9" ht="14.5">
      <c r="A1127" s="35"/>
      <c r="B1127" s="35"/>
      <c r="C1127" s="69"/>
      <c r="D1127" s="35"/>
      <c r="E1127" s="35"/>
      <c r="F1127" s="35"/>
      <c r="G1127" s="35"/>
      <c r="H1127" s="35"/>
      <c r="I1127" s="35"/>
    </row>
    <row r="1128" spans="1:9" ht="14.5">
      <c r="A1128" s="35"/>
      <c r="B1128" s="35"/>
      <c r="C1128" s="69"/>
      <c r="D1128" s="35"/>
      <c r="E1128" s="35"/>
      <c r="F1128" s="35"/>
      <c r="G1128" s="35"/>
      <c r="H1128" s="35"/>
      <c r="I1128" s="35"/>
    </row>
    <row r="1129" spans="1:9" ht="14.5">
      <c r="A1129" s="35"/>
      <c r="B1129" s="35"/>
      <c r="C1129" s="69"/>
      <c r="D1129" s="35"/>
      <c r="E1129" s="35"/>
      <c r="F1129" s="35"/>
      <c r="G1129" s="35"/>
      <c r="H1129" s="35"/>
      <c r="I1129" s="35"/>
    </row>
    <row r="1130" spans="1:9" ht="14.5">
      <c r="A1130" s="35"/>
      <c r="B1130" s="35"/>
      <c r="C1130" s="69"/>
      <c r="D1130" s="35"/>
      <c r="E1130" s="35"/>
      <c r="F1130" s="35"/>
      <c r="G1130" s="35"/>
      <c r="H1130" s="35"/>
      <c r="I1130" s="35"/>
    </row>
    <row r="1131" spans="1:9" ht="14.5">
      <c r="A1131" s="35"/>
      <c r="B1131" s="35"/>
      <c r="C1131" s="69"/>
      <c r="D1131" s="35"/>
      <c r="E1131" s="35"/>
      <c r="F1131" s="35"/>
      <c r="G1131" s="35"/>
      <c r="H1131" s="35"/>
      <c r="I1131" s="35"/>
    </row>
    <row r="1132" spans="1:9" ht="14.5">
      <c r="A1132" s="35"/>
      <c r="B1132" s="35"/>
      <c r="C1132" s="69"/>
      <c r="D1132" s="35"/>
      <c r="E1132" s="35"/>
      <c r="F1132" s="35"/>
      <c r="G1132" s="35"/>
      <c r="H1132" s="35"/>
      <c r="I1132" s="35"/>
    </row>
    <row r="1133" spans="1:9" ht="14.5">
      <c r="A1133" s="35"/>
      <c r="B1133" s="35"/>
      <c r="C1133" s="69"/>
      <c r="D1133" s="35"/>
      <c r="E1133" s="35"/>
      <c r="F1133" s="35"/>
      <c r="G1133" s="35"/>
      <c r="H1133" s="35"/>
      <c r="I1133" s="35"/>
    </row>
    <row r="1134" spans="1:9" ht="14.5">
      <c r="A1134" s="35"/>
      <c r="B1134" s="35"/>
      <c r="C1134" s="69"/>
      <c r="D1134" s="35"/>
      <c r="E1134" s="35"/>
      <c r="F1134" s="35"/>
      <c r="G1134" s="35"/>
      <c r="H1134" s="35"/>
      <c r="I1134" s="35"/>
    </row>
    <row r="1135" spans="1:9" ht="14.5">
      <c r="A1135" s="35"/>
      <c r="B1135" s="35"/>
      <c r="C1135" s="69"/>
      <c r="D1135" s="35"/>
      <c r="E1135" s="35"/>
      <c r="F1135" s="35"/>
      <c r="G1135" s="35"/>
      <c r="H1135" s="35"/>
      <c r="I1135" s="35"/>
    </row>
  </sheetData>
  <hyperlinks>
    <hyperlink ref="E2" r:id="rId1" xr:uid="{00000000-0004-0000-0300-000000000000}"/>
    <hyperlink ref="E3" r:id="rId2" xr:uid="{00000000-0004-0000-0300-000001000000}"/>
    <hyperlink ref="E4" r:id="rId3" xr:uid="{00000000-0004-0000-0300-000002000000}"/>
    <hyperlink ref="E6" r:id="rId4" xr:uid="{00000000-0004-0000-0300-000003000000}"/>
    <hyperlink ref="E7" r:id="rId5" xr:uid="{00000000-0004-0000-0300-000004000000}"/>
    <hyperlink ref="E8" r:id="rId6" xr:uid="{00000000-0004-0000-0300-000005000000}"/>
    <hyperlink ref="E9" r:id="rId7" xr:uid="{00000000-0004-0000-0300-000006000000}"/>
    <hyperlink ref="E10" r:id="rId8" xr:uid="{00000000-0004-0000-0300-000007000000}"/>
    <hyperlink ref="E11" r:id="rId9" xr:uid="{00000000-0004-0000-0300-000008000000}"/>
    <hyperlink ref="E12" r:id="rId10" xr:uid="{00000000-0004-0000-0300-000009000000}"/>
    <hyperlink ref="E13" r:id="rId11" xr:uid="{00000000-0004-0000-0300-00000A000000}"/>
    <hyperlink ref="E14" r:id="rId12" xr:uid="{00000000-0004-0000-0300-00000B000000}"/>
    <hyperlink ref="E15" r:id="rId13" xr:uid="{00000000-0004-0000-0300-00000C000000}"/>
    <hyperlink ref="E16" r:id="rId14" xr:uid="{00000000-0004-0000-0300-00000D000000}"/>
    <hyperlink ref="E17" r:id="rId15" xr:uid="{00000000-0004-0000-0300-00000E000000}"/>
    <hyperlink ref="E18" r:id="rId16" xr:uid="{00000000-0004-0000-0300-00000F000000}"/>
    <hyperlink ref="E19" r:id="rId17" xr:uid="{00000000-0004-0000-0300-000010000000}"/>
    <hyperlink ref="E20" r:id="rId18" xr:uid="{00000000-0004-0000-0300-000011000000}"/>
    <hyperlink ref="E21" r:id="rId19" xr:uid="{00000000-0004-0000-0300-000012000000}"/>
    <hyperlink ref="E22" r:id="rId20" xr:uid="{00000000-0004-0000-0300-000013000000}"/>
    <hyperlink ref="E23" r:id="rId21" xr:uid="{00000000-0004-0000-0300-000014000000}"/>
    <hyperlink ref="E24" r:id="rId22" xr:uid="{00000000-0004-0000-0300-000015000000}"/>
    <hyperlink ref="E25" r:id="rId23" xr:uid="{00000000-0004-0000-0300-000016000000}"/>
    <hyperlink ref="E26" r:id="rId24" xr:uid="{00000000-0004-0000-0300-000017000000}"/>
    <hyperlink ref="E27" r:id="rId25" xr:uid="{00000000-0004-0000-0300-000018000000}"/>
    <hyperlink ref="E29" r:id="rId26" xr:uid="{00000000-0004-0000-0300-000019000000}"/>
    <hyperlink ref="E30" r:id="rId27" xr:uid="{00000000-0004-0000-0300-00001A000000}"/>
    <hyperlink ref="E31" r:id="rId28" xr:uid="{00000000-0004-0000-0300-00001B000000}"/>
    <hyperlink ref="E32" r:id="rId29" xr:uid="{00000000-0004-0000-0300-00001C000000}"/>
    <hyperlink ref="E33" r:id="rId30" xr:uid="{00000000-0004-0000-0300-00001D000000}"/>
    <hyperlink ref="E34" r:id="rId31" xr:uid="{00000000-0004-0000-0300-00001E000000}"/>
    <hyperlink ref="E35" r:id="rId32" xr:uid="{00000000-0004-0000-0300-00001F000000}"/>
    <hyperlink ref="E36" r:id="rId33" xr:uid="{00000000-0004-0000-0300-000020000000}"/>
    <hyperlink ref="E37" r:id="rId34" xr:uid="{00000000-0004-0000-0300-000021000000}"/>
    <hyperlink ref="E39" r:id="rId35" xr:uid="{00000000-0004-0000-0300-000022000000}"/>
    <hyperlink ref="E40" r:id="rId36" xr:uid="{00000000-0004-0000-0300-000023000000}"/>
    <hyperlink ref="E41" r:id="rId37" xr:uid="{00000000-0004-0000-0300-000024000000}"/>
    <hyperlink ref="E42" r:id="rId38" xr:uid="{00000000-0004-0000-0300-000025000000}"/>
    <hyperlink ref="E43" r:id="rId39" xr:uid="{00000000-0004-0000-0300-000026000000}"/>
    <hyperlink ref="E44" r:id="rId40" xr:uid="{00000000-0004-0000-0300-000027000000}"/>
    <hyperlink ref="E46" r:id="rId41" xr:uid="{00000000-0004-0000-0300-000028000000}"/>
    <hyperlink ref="E47" r:id="rId42" xr:uid="{00000000-0004-0000-0300-000029000000}"/>
    <hyperlink ref="E48" r:id="rId43" xr:uid="{00000000-0004-0000-0300-00002A000000}"/>
    <hyperlink ref="E49" r:id="rId44" xr:uid="{00000000-0004-0000-0300-00002B000000}"/>
    <hyperlink ref="E50" r:id="rId45" xr:uid="{00000000-0004-0000-0300-00002C000000}"/>
    <hyperlink ref="E51" r:id="rId46" xr:uid="{00000000-0004-0000-0300-00002D000000}"/>
    <hyperlink ref="E52" r:id="rId47" xr:uid="{00000000-0004-0000-0300-00002E000000}"/>
    <hyperlink ref="E53" r:id="rId48" xr:uid="{00000000-0004-0000-0300-00002F000000}"/>
    <hyperlink ref="E54" r:id="rId49" xr:uid="{00000000-0004-0000-0300-000030000000}"/>
    <hyperlink ref="E55" r:id="rId50" xr:uid="{00000000-0004-0000-0300-000031000000}"/>
    <hyperlink ref="E56" r:id="rId51" xr:uid="{00000000-0004-0000-0300-000032000000}"/>
    <hyperlink ref="E58" r:id="rId52" xr:uid="{00000000-0004-0000-0300-000033000000}"/>
    <hyperlink ref="E59" r:id="rId53" xr:uid="{00000000-0004-0000-0300-000034000000}"/>
    <hyperlink ref="E60" r:id="rId54" xr:uid="{00000000-0004-0000-0300-000035000000}"/>
    <hyperlink ref="E61" r:id="rId55" xr:uid="{00000000-0004-0000-0300-000036000000}"/>
    <hyperlink ref="E62" r:id="rId56" xr:uid="{00000000-0004-0000-0300-000037000000}"/>
    <hyperlink ref="E63" r:id="rId57" xr:uid="{00000000-0004-0000-0300-000038000000}"/>
    <hyperlink ref="E64" r:id="rId58" xr:uid="{00000000-0004-0000-0300-000039000000}"/>
    <hyperlink ref="E66" r:id="rId59" xr:uid="{00000000-0004-0000-0300-00003A000000}"/>
    <hyperlink ref="E67" r:id="rId60" xr:uid="{00000000-0004-0000-0300-00003B000000}"/>
    <hyperlink ref="E68" r:id="rId61" xr:uid="{00000000-0004-0000-0300-00003C000000}"/>
    <hyperlink ref="E69" r:id="rId62" xr:uid="{00000000-0004-0000-0300-00003D000000}"/>
    <hyperlink ref="E70" r:id="rId63" xr:uid="{00000000-0004-0000-0300-00003E000000}"/>
    <hyperlink ref="E71" r:id="rId64" xr:uid="{00000000-0004-0000-0300-00003F000000}"/>
    <hyperlink ref="E72" r:id="rId65" xr:uid="{00000000-0004-0000-0300-000040000000}"/>
    <hyperlink ref="E73" r:id="rId66" xr:uid="{00000000-0004-0000-0300-000041000000}"/>
    <hyperlink ref="E74" r:id="rId67" xr:uid="{00000000-0004-0000-0300-000042000000}"/>
    <hyperlink ref="E75" r:id="rId68" xr:uid="{00000000-0004-0000-0300-000043000000}"/>
    <hyperlink ref="E76" r:id="rId69" xr:uid="{00000000-0004-0000-0300-000044000000}"/>
    <hyperlink ref="E77" r:id="rId70" xr:uid="{00000000-0004-0000-0300-000045000000}"/>
    <hyperlink ref="E78" r:id="rId71" xr:uid="{00000000-0004-0000-0300-000046000000}"/>
    <hyperlink ref="E79" r:id="rId72" xr:uid="{00000000-0004-0000-0300-000047000000}"/>
    <hyperlink ref="E81" r:id="rId73" xr:uid="{00000000-0004-0000-0300-000048000000}"/>
    <hyperlink ref="E83" r:id="rId74" xr:uid="{00000000-0004-0000-0300-000049000000}"/>
    <hyperlink ref="E84" r:id="rId75" xr:uid="{00000000-0004-0000-0300-00004A000000}"/>
    <hyperlink ref="E85" r:id="rId76" xr:uid="{00000000-0004-0000-0300-00004B000000}"/>
    <hyperlink ref="E86" r:id="rId77" xr:uid="{00000000-0004-0000-0300-00004C000000}"/>
    <hyperlink ref="E87" r:id="rId78" xr:uid="{00000000-0004-0000-0300-00004D000000}"/>
    <hyperlink ref="E88" r:id="rId79" xr:uid="{00000000-0004-0000-0300-00004E000000}"/>
    <hyperlink ref="E90" r:id="rId80" xr:uid="{00000000-0004-0000-0300-00004F000000}"/>
    <hyperlink ref="E91" r:id="rId81" xr:uid="{00000000-0004-0000-0300-000050000000}"/>
    <hyperlink ref="E93" r:id="rId82" xr:uid="{00000000-0004-0000-0300-000051000000}"/>
    <hyperlink ref="E94" r:id="rId83" xr:uid="{00000000-0004-0000-0300-000052000000}"/>
    <hyperlink ref="E95" r:id="rId84" xr:uid="{00000000-0004-0000-0300-000053000000}"/>
    <hyperlink ref="E96" r:id="rId85" xr:uid="{00000000-0004-0000-0300-000054000000}"/>
    <hyperlink ref="E97" r:id="rId86" xr:uid="{00000000-0004-0000-0300-000055000000}"/>
    <hyperlink ref="E98" r:id="rId87" xr:uid="{00000000-0004-0000-0300-000056000000}"/>
    <hyperlink ref="E99" r:id="rId88" xr:uid="{00000000-0004-0000-0300-000057000000}"/>
    <hyperlink ref="E100" r:id="rId89" xr:uid="{00000000-0004-0000-0300-000058000000}"/>
    <hyperlink ref="E101" r:id="rId90" xr:uid="{00000000-0004-0000-0300-000059000000}"/>
    <hyperlink ref="E102" r:id="rId91" xr:uid="{00000000-0004-0000-0300-00005A000000}"/>
    <hyperlink ref="E103" r:id="rId92" xr:uid="{00000000-0004-0000-0300-00005B000000}"/>
    <hyperlink ref="E104" r:id="rId93" xr:uid="{00000000-0004-0000-0300-00005C000000}"/>
    <hyperlink ref="E105" r:id="rId94" xr:uid="{00000000-0004-0000-0300-00005D000000}"/>
    <hyperlink ref="E106" r:id="rId95" xr:uid="{00000000-0004-0000-0300-00005E000000}"/>
    <hyperlink ref="E107" r:id="rId96" xr:uid="{00000000-0004-0000-0300-00005F000000}"/>
    <hyperlink ref="E108" r:id="rId97" xr:uid="{00000000-0004-0000-0300-000060000000}"/>
    <hyperlink ref="E109" r:id="rId98" xr:uid="{00000000-0004-0000-0300-000061000000}"/>
    <hyperlink ref="E110" r:id="rId99" xr:uid="{00000000-0004-0000-0300-000062000000}"/>
    <hyperlink ref="E111" r:id="rId100" xr:uid="{00000000-0004-0000-0300-000063000000}"/>
    <hyperlink ref="E112" r:id="rId101" xr:uid="{00000000-0004-0000-0300-000064000000}"/>
    <hyperlink ref="E114" r:id="rId102" xr:uid="{00000000-0004-0000-0300-000065000000}"/>
    <hyperlink ref="E115" r:id="rId103" xr:uid="{00000000-0004-0000-0300-000066000000}"/>
    <hyperlink ref="F115" r:id="rId104" xr:uid="{00000000-0004-0000-0300-000067000000}"/>
    <hyperlink ref="E116" r:id="rId105" xr:uid="{00000000-0004-0000-0300-000068000000}"/>
    <hyperlink ref="E117" r:id="rId106" xr:uid="{00000000-0004-0000-0300-000069000000}"/>
    <hyperlink ref="E118" r:id="rId107" xr:uid="{00000000-0004-0000-0300-00006A000000}"/>
    <hyperlink ref="E121" r:id="rId108" xr:uid="{00000000-0004-0000-0300-00006B000000}"/>
    <hyperlink ref="E122" r:id="rId109" xr:uid="{00000000-0004-0000-0300-00006C000000}"/>
    <hyperlink ref="E123" r:id="rId110" xr:uid="{00000000-0004-0000-0300-00006D000000}"/>
    <hyperlink ref="E124" r:id="rId111" xr:uid="{00000000-0004-0000-0300-00006E000000}"/>
    <hyperlink ref="E125" r:id="rId112" xr:uid="{00000000-0004-0000-0300-00006F000000}"/>
    <hyperlink ref="E126" r:id="rId113" xr:uid="{00000000-0004-0000-0300-000070000000}"/>
    <hyperlink ref="E127" r:id="rId114" xr:uid="{00000000-0004-0000-0300-000071000000}"/>
    <hyperlink ref="E128" r:id="rId115" xr:uid="{00000000-0004-0000-0300-00007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46"/>
  <sheetViews>
    <sheetView workbookViewId="0"/>
  </sheetViews>
  <sheetFormatPr defaultColWidth="12.6328125" defaultRowHeight="15.75" customHeight="1"/>
  <cols>
    <col min="2" max="2" width="27" customWidth="1"/>
  </cols>
  <sheetData>
    <row r="1" spans="1:19" ht="15.75" customHeight="1">
      <c r="A1" s="83" t="s">
        <v>1</v>
      </c>
      <c r="B1" s="83" t="s">
        <v>2</v>
      </c>
      <c r="C1" s="84" t="s">
        <v>6</v>
      </c>
      <c r="D1" s="83" t="s">
        <v>9</v>
      </c>
      <c r="E1" s="83" t="s">
        <v>10</v>
      </c>
      <c r="F1" s="83" t="s">
        <v>11</v>
      </c>
      <c r="G1" s="83" t="s">
        <v>12</v>
      </c>
      <c r="H1" s="83" t="s">
        <v>13</v>
      </c>
      <c r="I1" s="83" t="s">
        <v>14</v>
      </c>
      <c r="J1" s="85" t="s">
        <v>15</v>
      </c>
      <c r="K1" s="83" t="s">
        <v>16</v>
      </c>
      <c r="L1" s="83" t="s">
        <v>17</v>
      </c>
      <c r="M1" s="83" t="s">
        <v>18</v>
      </c>
      <c r="N1" s="83" t="s">
        <v>19</v>
      </c>
      <c r="O1" s="83" t="s">
        <v>20</v>
      </c>
      <c r="P1" s="83" t="s">
        <v>21</v>
      </c>
      <c r="Q1" s="85" t="s">
        <v>22</v>
      </c>
      <c r="R1" s="83" t="s">
        <v>23</v>
      </c>
      <c r="S1" s="85" t="s">
        <v>24</v>
      </c>
    </row>
    <row r="2" spans="1:19" ht="15.75" customHeight="1">
      <c r="A2" s="13" t="s">
        <v>31</v>
      </c>
      <c r="B2" s="13" t="s">
        <v>973</v>
      </c>
      <c r="C2" s="13" t="s">
        <v>974</v>
      </c>
      <c r="D2" s="14" t="s">
        <v>975</v>
      </c>
      <c r="E2" s="14">
        <v>1264</v>
      </c>
      <c r="F2" s="14" t="s">
        <v>364</v>
      </c>
      <c r="G2" s="14" t="s">
        <v>976</v>
      </c>
      <c r="H2" s="14" t="s">
        <v>977</v>
      </c>
      <c r="I2" s="14" t="s">
        <v>978</v>
      </c>
      <c r="J2" s="15">
        <v>32830600</v>
      </c>
      <c r="K2" s="14" t="s">
        <v>367</v>
      </c>
      <c r="L2" s="16" t="s">
        <v>368</v>
      </c>
      <c r="M2" s="14" t="s">
        <v>979</v>
      </c>
      <c r="N2" s="18">
        <v>44318</v>
      </c>
      <c r="O2" s="15" t="s">
        <v>980</v>
      </c>
      <c r="P2" s="19">
        <v>15</v>
      </c>
      <c r="Q2" s="14" t="s">
        <v>981</v>
      </c>
      <c r="R2" s="19">
        <v>26</v>
      </c>
      <c r="S2" s="14" t="s">
        <v>982</v>
      </c>
    </row>
    <row r="3" spans="1:19" ht="15.75" customHeight="1">
      <c r="A3" s="13" t="s">
        <v>31</v>
      </c>
      <c r="B3" s="13" t="s">
        <v>983</v>
      </c>
      <c r="C3" s="86" t="s">
        <v>984</v>
      </c>
      <c r="D3" s="14" t="s">
        <v>223</v>
      </c>
      <c r="E3" s="14">
        <v>1650</v>
      </c>
      <c r="F3" s="14" t="s">
        <v>224</v>
      </c>
      <c r="G3" s="14" t="s">
        <v>976</v>
      </c>
      <c r="H3" s="14" t="s">
        <v>977</v>
      </c>
      <c r="I3" s="14" t="s">
        <v>978</v>
      </c>
      <c r="J3" s="15">
        <v>32551444</v>
      </c>
      <c r="K3" s="14" t="s">
        <v>225</v>
      </c>
      <c r="L3" s="16" t="s">
        <v>226</v>
      </c>
      <c r="M3" s="14" t="s">
        <v>985</v>
      </c>
      <c r="N3" s="18">
        <v>43595</v>
      </c>
      <c r="O3" s="15" t="s">
        <v>980</v>
      </c>
      <c r="P3" s="19">
        <v>12</v>
      </c>
      <c r="Q3" s="14" t="s">
        <v>986</v>
      </c>
      <c r="R3" s="19">
        <v>17</v>
      </c>
      <c r="S3" s="14" t="s">
        <v>987</v>
      </c>
    </row>
    <row r="4" spans="1:19" ht="15.75" customHeight="1">
      <c r="A4" s="13" t="s">
        <v>31</v>
      </c>
      <c r="B4" s="13" t="s">
        <v>988</v>
      </c>
      <c r="C4" s="86" t="s">
        <v>989</v>
      </c>
      <c r="D4" s="14" t="s">
        <v>990</v>
      </c>
      <c r="E4" s="14">
        <v>1850</v>
      </c>
      <c r="F4" s="14" t="s">
        <v>454</v>
      </c>
      <c r="G4" s="14" t="s">
        <v>451</v>
      </c>
      <c r="H4" s="14" t="s">
        <v>977</v>
      </c>
      <c r="I4" s="14" t="s">
        <v>978</v>
      </c>
      <c r="J4" s="15" t="s">
        <v>991</v>
      </c>
      <c r="K4" s="14" t="s">
        <v>455</v>
      </c>
      <c r="L4" s="22" t="s">
        <v>456</v>
      </c>
      <c r="M4" s="14" t="s">
        <v>992</v>
      </c>
      <c r="N4" s="17">
        <v>44524</v>
      </c>
      <c r="O4" s="15" t="s">
        <v>980</v>
      </c>
      <c r="P4" s="19">
        <v>4</v>
      </c>
      <c r="Q4" s="14" t="s">
        <v>993</v>
      </c>
      <c r="R4" s="19">
        <v>1</v>
      </c>
      <c r="S4" s="14">
        <v>1900</v>
      </c>
    </row>
    <row r="5" spans="1:19" ht="15.75" customHeight="1">
      <c r="A5" s="13" t="s">
        <v>31</v>
      </c>
      <c r="B5" s="13" t="s">
        <v>994</v>
      </c>
      <c r="C5" s="13" t="s">
        <v>974</v>
      </c>
      <c r="D5" s="14" t="s">
        <v>995</v>
      </c>
      <c r="E5" s="14">
        <v>1850</v>
      </c>
      <c r="F5" s="14" t="s">
        <v>454</v>
      </c>
      <c r="G5" s="14" t="s">
        <v>451</v>
      </c>
      <c r="H5" s="14" t="s">
        <v>977</v>
      </c>
      <c r="I5" s="14" t="s">
        <v>978</v>
      </c>
      <c r="J5" s="15">
        <v>38412200</v>
      </c>
      <c r="K5" s="14" t="s">
        <v>355</v>
      </c>
      <c r="L5" s="16" t="s">
        <v>356</v>
      </c>
      <c r="M5" s="14" t="s">
        <v>996</v>
      </c>
      <c r="N5" s="18">
        <v>43662</v>
      </c>
      <c r="O5" s="18">
        <v>44318</v>
      </c>
      <c r="P5" s="19">
        <v>7</v>
      </c>
      <c r="Q5" s="14" t="s">
        <v>997</v>
      </c>
      <c r="R5" s="19">
        <v>11</v>
      </c>
      <c r="S5" s="14" t="s">
        <v>998</v>
      </c>
    </row>
    <row r="6" spans="1:19" ht="15.75" customHeight="1">
      <c r="A6" s="13" t="s">
        <v>31</v>
      </c>
      <c r="B6" s="13" t="s">
        <v>999</v>
      </c>
      <c r="C6" s="86" t="s">
        <v>989</v>
      </c>
      <c r="D6" s="14" t="s">
        <v>1000</v>
      </c>
      <c r="E6" s="14">
        <v>2000</v>
      </c>
      <c r="F6" s="14" t="s">
        <v>451</v>
      </c>
      <c r="G6" s="14" t="s">
        <v>451</v>
      </c>
      <c r="H6" s="14" t="s">
        <v>977</v>
      </c>
      <c r="I6" s="14" t="s">
        <v>978</v>
      </c>
      <c r="J6" s="15">
        <v>33117177</v>
      </c>
      <c r="K6" s="14" t="s">
        <v>452</v>
      </c>
      <c r="L6" s="16" t="s">
        <v>453</v>
      </c>
      <c r="M6" s="14" t="s">
        <v>992</v>
      </c>
      <c r="N6" s="18">
        <v>44318</v>
      </c>
      <c r="O6" s="15" t="s">
        <v>980</v>
      </c>
      <c r="P6" s="19">
        <v>9</v>
      </c>
      <c r="Q6" s="14" t="s">
        <v>1001</v>
      </c>
      <c r="R6" s="19">
        <v>46</v>
      </c>
      <c r="S6" s="14" t="s">
        <v>1002</v>
      </c>
    </row>
    <row r="7" spans="1:19" ht="15.75" customHeight="1">
      <c r="A7" s="13" t="s">
        <v>31</v>
      </c>
      <c r="B7" s="13" t="s">
        <v>1003</v>
      </c>
      <c r="C7" s="86" t="s">
        <v>1004</v>
      </c>
      <c r="D7" s="14" t="s">
        <v>1005</v>
      </c>
      <c r="E7" s="14">
        <v>2100</v>
      </c>
      <c r="F7" s="14" t="s">
        <v>463</v>
      </c>
      <c r="G7" s="14" t="s">
        <v>976</v>
      </c>
      <c r="H7" s="14" t="s">
        <v>977</v>
      </c>
      <c r="I7" s="14" t="s">
        <v>978</v>
      </c>
      <c r="J7" s="15" t="s">
        <v>464</v>
      </c>
      <c r="K7" s="14" t="s">
        <v>465</v>
      </c>
      <c r="L7" s="16" t="s">
        <v>466</v>
      </c>
      <c r="M7" s="14" t="s">
        <v>1006</v>
      </c>
      <c r="N7" s="18">
        <v>44318</v>
      </c>
      <c r="O7" s="15" t="s">
        <v>980</v>
      </c>
      <c r="P7" s="19">
        <v>21</v>
      </c>
      <c r="Q7" s="14">
        <v>2100</v>
      </c>
      <c r="R7" s="19">
        <v>36</v>
      </c>
      <c r="S7" s="14">
        <v>2100</v>
      </c>
    </row>
    <row r="8" spans="1:19" ht="15.75" customHeight="1">
      <c r="A8" s="13" t="s">
        <v>31</v>
      </c>
      <c r="B8" s="13" t="s">
        <v>1007</v>
      </c>
      <c r="C8" s="86" t="s">
        <v>1004</v>
      </c>
      <c r="D8" s="14" t="s">
        <v>1008</v>
      </c>
      <c r="E8" s="14">
        <v>2100</v>
      </c>
      <c r="F8" s="14" t="s">
        <v>463</v>
      </c>
      <c r="G8" s="14" t="s">
        <v>976</v>
      </c>
      <c r="H8" s="14" t="s">
        <v>977</v>
      </c>
      <c r="I8" s="14" t="s">
        <v>978</v>
      </c>
      <c r="J8" s="15" t="s">
        <v>1009</v>
      </c>
      <c r="K8" s="14" t="s">
        <v>1010</v>
      </c>
      <c r="L8" s="16" t="s">
        <v>1011</v>
      </c>
      <c r="M8" s="14" t="s">
        <v>1006</v>
      </c>
      <c r="N8" s="18">
        <v>44318</v>
      </c>
      <c r="O8" s="15" t="s">
        <v>980</v>
      </c>
      <c r="P8" s="19">
        <v>9</v>
      </c>
      <c r="Q8" s="14">
        <v>2100</v>
      </c>
      <c r="R8" s="19">
        <v>13</v>
      </c>
      <c r="S8" s="14" t="s">
        <v>1012</v>
      </c>
    </row>
    <row r="9" spans="1:19" ht="15.75" customHeight="1">
      <c r="A9" s="13" t="s">
        <v>31</v>
      </c>
      <c r="B9" s="13" t="s">
        <v>1013</v>
      </c>
      <c r="C9" s="86" t="s">
        <v>974</v>
      </c>
      <c r="D9" s="14" t="s">
        <v>1014</v>
      </c>
      <c r="E9" s="14">
        <v>2100</v>
      </c>
      <c r="F9" s="14" t="s">
        <v>463</v>
      </c>
      <c r="G9" s="14" t="s">
        <v>976</v>
      </c>
      <c r="H9" s="14" t="s">
        <v>977</v>
      </c>
      <c r="I9" s="14" t="s">
        <v>978</v>
      </c>
      <c r="J9" s="15">
        <v>35381450</v>
      </c>
      <c r="K9" s="14" t="s">
        <v>365</v>
      </c>
      <c r="L9" s="16" t="s">
        <v>366</v>
      </c>
      <c r="M9" s="14" t="s">
        <v>996</v>
      </c>
      <c r="N9" s="18">
        <v>43662</v>
      </c>
      <c r="O9" s="18">
        <v>44318</v>
      </c>
      <c r="P9" s="19">
        <v>3</v>
      </c>
      <c r="Q9" s="14" t="s">
        <v>1015</v>
      </c>
      <c r="R9" s="19">
        <v>5</v>
      </c>
      <c r="S9" s="14" t="s">
        <v>1016</v>
      </c>
    </row>
    <row r="10" spans="1:19" ht="15.75" customHeight="1">
      <c r="A10" s="13" t="s">
        <v>31</v>
      </c>
      <c r="B10" s="13" t="s">
        <v>1017</v>
      </c>
      <c r="C10" s="86" t="s">
        <v>1018</v>
      </c>
      <c r="D10" s="14" t="s">
        <v>1019</v>
      </c>
      <c r="E10" s="14">
        <v>2200</v>
      </c>
      <c r="F10" s="14" t="s">
        <v>433</v>
      </c>
      <c r="G10" s="14" t="s">
        <v>976</v>
      </c>
      <c r="H10" s="14" t="s">
        <v>977</v>
      </c>
      <c r="I10" s="14" t="s">
        <v>978</v>
      </c>
      <c r="J10" s="15" t="s">
        <v>1020</v>
      </c>
      <c r="K10" s="14" t="s">
        <v>434</v>
      </c>
      <c r="L10" s="16" t="s">
        <v>435</v>
      </c>
      <c r="M10" s="14" t="s">
        <v>1021</v>
      </c>
      <c r="N10" s="18">
        <v>43952</v>
      </c>
      <c r="O10" s="15" t="s">
        <v>980</v>
      </c>
      <c r="P10" s="19">
        <v>13</v>
      </c>
      <c r="Q10" s="14">
        <v>2200</v>
      </c>
      <c r="R10" s="19">
        <v>43</v>
      </c>
      <c r="S10" s="14" t="s">
        <v>1022</v>
      </c>
    </row>
    <row r="11" spans="1:19" ht="15.75" customHeight="1">
      <c r="A11" s="13" t="s">
        <v>31</v>
      </c>
      <c r="B11" s="13" t="s">
        <v>1023</v>
      </c>
      <c r="C11" s="86" t="s">
        <v>1024</v>
      </c>
      <c r="D11" s="14" t="s">
        <v>1025</v>
      </c>
      <c r="E11" s="14">
        <v>2300</v>
      </c>
      <c r="F11" s="14" t="s">
        <v>354</v>
      </c>
      <c r="G11" s="14" t="s">
        <v>976</v>
      </c>
      <c r="H11" s="14" t="s">
        <v>977</v>
      </c>
      <c r="I11" s="14" t="s">
        <v>978</v>
      </c>
      <c r="J11" s="15">
        <v>70100077</v>
      </c>
      <c r="K11" s="14" t="s">
        <v>458</v>
      </c>
      <c r="L11" s="16" t="s">
        <v>459</v>
      </c>
      <c r="M11" s="14" t="s">
        <v>1026</v>
      </c>
      <c r="N11" s="18">
        <v>44318</v>
      </c>
      <c r="O11" s="15" t="s">
        <v>980</v>
      </c>
      <c r="P11" s="19">
        <v>18</v>
      </c>
      <c r="Q11" s="14" t="s">
        <v>1027</v>
      </c>
      <c r="R11" s="19">
        <v>55</v>
      </c>
      <c r="S11" s="14" t="s">
        <v>1028</v>
      </c>
    </row>
    <row r="12" spans="1:19" ht="15.75" customHeight="1">
      <c r="A12" s="13" t="s">
        <v>31</v>
      </c>
      <c r="B12" s="13" t="s">
        <v>1029</v>
      </c>
      <c r="C12" s="25"/>
      <c r="D12" s="14" t="s">
        <v>1030</v>
      </c>
      <c r="E12" s="14">
        <v>2300</v>
      </c>
      <c r="F12" s="14" t="s">
        <v>354</v>
      </c>
      <c r="G12" s="14" t="s">
        <v>976</v>
      </c>
      <c r="H12" s="14" t="s">
        <v>977</v>
      </c>
      <c r="I12" s="14" t="s">
        <v>978</v>
      </c>
      <c r="J12" s="15">
        <v>70100077</v>
      </c>
      <c r="K12" s="14" t="s">
        <v>1031</v>
      </c>
      <c r="L12" s="16" t="s">
        <v>1032</v>
      </c>
      <c r="M12" s="14" t="s">
        <v>1026</v>
      </c>
      <c r="N12" s="18">
        <v>44318</v>
      </c>
      <c r="O12" s="18">
        <v>44318</v>
      </c>
      <c r="P12" s="19">
        <v>10</v>
      </c>
      <c r="Q12" s="14" t="s">
        <v>1033</v>
      </c>
      <c r="R12" s="19">
        <v>12</v>
      </c>
      <c r="S12" s="14" t="s">
        <v>1034</v>
      </c>
    </row>
    <row r="13" spans="1:19" ht="15.75" customHeight="1">
      <c r="A13" s="13" t="s">
        <v>31</v>
      </c>
      <c r="B13" s="13" t="s">
        <v>1035</v>
      </c>
      <c r="C13" s="86" t="s">
        <v>1024</v>
      </c>
      <c r="D13" s="14" t="s">
        <v>1036</v>
      </c>
      <c r="E13" s="14">
        <v>2300</v>
      </c>
      <c r="F13" s="14" t="s">
        <v>354</v>
      </c>
      <c r="G13" s="14" t="s">
        <v>976</v>
      </c>
      <c r="H13" s="14" t="s">
        <v>977</v>
      </c>
      <c r="I13" s="14" t="s">
        <v>978</v>
      </c>
      <c r="J13" s="15">
        <v>70100077</v>
      </c>
      <c r="K13" s="14" t="s">
        <v>1037</v>
      </c>
      <c r="L13" s="16" t="s">
        <v>1038</v>
      </c>
      <c r="M13" s="14" t="s">
        <v>1026</v>
      </c>
      <c r="N13" s="18">
        <v>44318</v>
      </c>
      <c r="O13" s="15" t="s">
        <v>980</v>
      </c>
      <c r="P13" s="19" t="s">
        <v>980</v>
      </c>
      <c r="Q13" s="14" t="s">
        <v>980</v>
      </c>
      <c r="R13" s="19">
        <v>6</v>
      </c>
      <c r="S13" s="14" t="s">
        <v>1039</v>
      </c>
    </row>
    <row r="14" spans="1:19" ht="15.75" customHeight="1">
      <c r="A14" s="13" t="s">
        <v>31</v>
      </c>
      <c r="B14" s="13" t="s">
        <v>1040</v>
      </c>
      <c r="C14" s="86" t="s">
        <v>974</v>
      </c>
      <c r="D14" s="14" t="s">
        <v>353</v>
      </c>
      <c r="E14" s="14">
        <v>2300</v>
      </c>
      <c r="F14" s="14" t="s">
        <v>354</v>
      </c>
      <c r="G14" s="14" t="s">
        <v>976</v>
      </c>
      <c r="H14" s="14" t="s">
        <v>977</v>
      </c>
      <c r="I14" s="14" t="s">
        <v>978</v>
      </c>
      <c r="J14" s="15">
        <v>32591407</v>
      </c>
      <c r="K14" s="14" t="s">
        <v>357</v>
      </c>
      <c r="L14" s="16" t="s">
        <v>358</v>
      </c>
      <c r="M14" s="14" t="s">
        <v>996</v>
      </c>
      <c r="N14" s="18">
        <v>43662</v>
      </c>
      <c r="O14" s="18">
        <v>44318</v>
      </c>
      <c r="P14" s="19">
        <v>14</v>
      </c>
      <c r="Q14" s="14" t="s">
        <v>1041</v>
      </c>
      <c r="R14" s="19">
        <v>9</v>
      </c>
      <c r="S14" s="14" t="s">
        <v>1042</v>
      </c>
    </row>
    <row r="15" spans="1:19" ht="15.75" customHeight="1">
      <c r="A15" s="13" t="s">
        <v>31</v>
      </c>
      <c r="B15" s="13" t="s">
        <v>1043</v>
      </c>
      <c r="C15" s="86" t="s">
        <v>974</v>
      </c>
      <c r="D15" s="14" t="s">
        <v>1044</v>
      </c>
      <c r="E15" s="14">
        <v>2300</v>
      </c>
      <c r="F15" s="14" t="s">
        <v>354</v>
      </c>
      <c r="G15" s="14" t="s">
        <v>976</v>
      </c>
      <c r="H15" s="14" t="s">
        <v>977</v>
      </c>
      <c r="I15" s="14" t="s">
        <v>978</v>
      </c>
      <c r="J15" s="15">
        <v>32873080</v>
      </c>
      <c r="K15" s="14" t="s">
        <v>359</v>
      </c>
      <c r="L15" s="16" t="s">
        <v>360</v>
      </c>
      <c r="M15" s="14" t="s">
        <v>996</v>
      </c>
      <c r="N15" s="18">
        <v>43662</v>
      </c>
      <c r="O15" s="18">
        <v>44318</v>
      </c>
      <c r="P15" s="19">
        <v>6</v>
      </c>
      <c r="Q15" s="14" t="s">
        <v>1045</v>
      </c>
      <c r="R15" s="19">
        <v>7</v>
      </c>
      <c r="S15" s="14">
        <v>2300</v>
      </c>
    </row>
    <row r="16" spans="1:19" ht="15.75" customHeight="1">
      <c r="A16" s="13" t="s">
        <v>31</v>
      </c>
      <c r="B16" s="13" t="s">
        <v>1046</v>
      </c>
      <c r="C16" s="86" t="s">
        <v>1018</v>
      </c>
      <c r="D16" s="14" t="s">
        <v>436</v>
      </c>
      <c r="E16" s="14">
        <v>2400</v>
      </c>
      <c r="F16" s="14" t="s">
        <v>437</v>
      </c>
      <c r="G16" s="14" t="s">
        <v>976</v>
      </c>
      <c r="H16" s="14" t="s">
        <v>977</v>
      </c>
      <c r="I16" s="14" t="s">
        <v>978</v>
      </c>
      <c r="J16" s="15" t="s">
        <v>1047</v>
      </c>
      <c r="K16" s="14" t="s">
        <v>438</v>
      </c>
      <c r="L16" s="16" t="s">
        <v>439</v>
      </c>
      <c r="M16" s="14" t="s">
        <v>1021</v>
      </c>
      <c r="N16" s="18">
        <v>43952</v>
      </c>
      <c r="O16" s="15" t="s">
        <v>980</v>
      </c>
      <c r="P16" s="19">
        <v>21</v>
      </c>
      <c r="Q16" s="14">
        <v>2400</v>
      </c>
      <c r="R16" s="19">
        <v>39</v>
      </c>
      <c r="S16" s="14">
        <v>2400</v>
      </c>
    </row>
    <row r="17" spans="1:19" ht="15.75" customHeight="1">
      <c r="A17" s="13" t="s">
        <v>31</v>
      </c>
      <c r="B17" s="13" t="s">
        <v>1048</v>
      </c>
      <c r="C17" s="86" t="s">
        <v>984</v>
      </c>
      <c r="D17" s="14" t="s">
        <v>218</v>
      </c>
      <c r="E17" s="14">
        <v>2500</v>
      </c>
      <c r="F17" s="14" t="s">
        <v>219</v>
      </c>
      <c r="G17" s="14" t="s">
        <v>976</v>
      </c>
      <c r="H17" s="14" t="s">
        <v>977</v>
      </c>
      <c r="I17" s="14" t="s">
        <v>978</v>
      </c>
      <c r="J17" s="15" t="s">
        <v>1049</v>
      </c>
      <c r="K17" s="14" t="s">
        <v>220</v>
      </c>
      <c r="L17" s="16" t="s">
        <v>221</v>
      </c>
      <c r="M17" s="14" t="s">
        <v>985</v>
      </c>
      <c r="N17" s="18">
        <v>43595</v>
      </c>
      <c r="O17" s="15" t="s">
        <v>980</v>
      </c>
      <c r="P17" s="19">
        <v>14</v>
      </c>
      <c r="Q17" s="14" t="s">
        <v>1050</v>
      </c>
      <c r="R17" s="19">
        <v>28</v>
      </c>
      <c r="S17" s="14" t="s">
        <v>1051</v>
      </c>
    </row>
    <row r="18" spans="1:19" ht="15.75" customHeight="1">
      <c r="A18" s="13" t="s">
        <v>31</v>
      </c>
      <c r="B18" s="13" t="s">
        <v>1052</v>
      </c>
      <c r="C18" s="86" t="s">
        <v>1053</v>
      </c>
      <c r="D18" s="14" t="s">
        <v>388</v>
      </c>
      <c r="E18" s="14">
        <v>2600</v>
      </c>
      <c r="F18" s="14" t="s">
        <v>389</v>
      </c>
      <c r="G18" s="14" t="s">
        <v>389</v>
      </c>
      <c r="H18" s="14" t="s">
        <v>1054</v>
      </c>
      <c r="I18" s="14" t="s">
        <v>978</v>
      </c>
      <c r="J18" s="15">
        <v>43430304</v>
      </c>
      <c r="K18" s="14" t="s">
        <v>390</v>
      </c>
      <c r="L18" s="16" t="s">
        <v>391</v>
      </c>
      <c r="M18" s="14" t="s">
        <v>1055</v>
      </c>
      <c r="N18" s="18">
        <v>43647</v>
      </c>
      <c r="O18" s="15" t="s">
        <v>980</v>
      </c>
      <c r="P18" s="19">
        <v>18</v>
      </c>
      <c r="Q18" s="14" t="s">
        <v>1056</v>
      </c>
      <c r="R18" s="19">
        <v>42</v>
      </c>
      <c r="S18" s="14" t="s">
        <v>1057</v>
      </c>
    </row>
    <row r="19" spans="1:19" ht="14.5">
      <c r="A19" s="13" t="s">
        <v>31</v>
      </c>
      <c r="B19" s="13" t="s">
        <v>1058</v>
      </c>
      <c r="C19" s="86" t="s">
        <v>1059</v>
      </c>
      <c r="D19" s="14" t="s">
        <v>163</v>
      </c>
      <c r="E19" s="14">
        <v>2610</v>
      </c>
      <c r="F19" s="14" t="s">
        <v>164</v>
      </c>
      <c r="G19" s="14" t="s">
        <v>164</v>
      </c>
      <c r="H19" s="14" t="s">
        <v>1054</v>
      </c>
      <c r="I19" s="14" t="s">
        <v>978</v>
      </c>
      <c r="J19" s="15" t="s">
        <v>1060</v>
      </c>
      <c r="K19" s="14" t="s">
        <v>165</v>
      </c>
      <c r="L19" s="16" t="s">
        <v>166</v>
      </c>
      <c r="M19" s="14">
        <v>2610</v>
      </c>
      <c r="N19" s="18">
        <v>43595</v>
      </c>
      <c r="O19" s="15" t="s">
        <v>980</v>
      </c>
      <c r="P19" s="19">
        <v>17</v>
      </c>
      <c r="Q19" s="14" t="s">
        <v>1061</v>
      </c>
      <c r="R19" s="19">
        <v>15</v>
      </c>
      <c r="S19" s="14" t="s">
        <v>1062</v>
      </c>
    </row>
    <row r="20" spans="1:19" ht="14.5">
      <c r="A20" s="13" t="s">
        <v>31</v>
      </c>
      <c r="B20" s="13" t="s">
        <v>1063</v>
      </c>
      <c r="C20" s="86" t="s">
        <v>1059</v>
      </c>
      <c r="D20" s="14" t="s">
        <v>1064</v>
      </c>
      <c r="E20" s="14">
        <v>2630</v>
      </c>
      <c r="F20" s="14" t="s">
        <v>1065</v>
      </c>
      <c r="G20" s="14" t="s">
        <v>1066</v>
      </c>
      <c r="H20" s="14" t="s">
        <v>1054</v>
      </c>
      <c r="I20" s="14" t="s">
        <v>978</v>
      </c>
      <c r="J20" s="15" t="s">
        <v>1067</v>
      </c>
      <c r="K20" s="14" t="s">
        <v>173</v>
      </c>
      <c r="L20" s="16" t="s">
        <v>174</v>
      </c>
      <c r="M20" s="14" t="s">
        <v>1068</v>
      </c>
      <c r="N20" s="18">
        <v>43595</v>
      </c>
      <c r="O20" s="15" t="s">
        <v>980</v>
      </c>
      <c r="P20" s="19">
        <v>20</v>
      </c>
      <c r="Q20" s="14" t="s">
        <v>1069</v>
      </c>
      <c r="R20" s="19">
        <v>28</v>
      </c>
      <c r="S20" s="14" t="s">
        <v>1070</v>
      </c>
    </row>
    <row r="21" spans="1:19" ht="14.5">
      <c r="A21" s="13" t="s">
        <v>31</v>
      </c>
      <c r="B21" s="13" t="s">
        <v>1071</v>
      </c>
      <c r="C21" s="86" t="s">
        <v>1059</v>
      </c>
      <c r="D21" s="14" t="s">
        <v>1072</v>
      </c>
      <c r="E21" s="14">
        <v>2640</v>
      </c>
      <c r="F21" s="14" t="s">
        <v>1073</v>
      </c>
      <c r="G21" s="14" t="s">
        <v>1066</v>
      </c>
      <c r="H21" s="14" t="s">
        <v>1054</v>
      </c>
      <c r="I21" s="14" t="s">
        <v>978</v>
      </c>
      <c r="J21" s="15" t="s">
        <v>1074</v>
      </c>
      <c r="K21" s="14" t="s">
        <v>1075</v>
      </c>
      <c r="L21" s="16" t="s">
        <v>1076</v>
      </c>
      <c r="M21" s="14" t="s">
        <v>1068</v>
      </c>
      <c r="N21" s="18">
        <v>44585</v>
      </c>
      <c r="O21" s="15" t="s">
        <v>980</v>
      </c>
      <c r="P21" s="19">
        <v>10</v>
      </c>
      <c r="Q21" s="14">
        <v>2640</v>
      </c>
      <c r="R21" s="19" t="s">
        <v>980</v>
      </c>
      <c r="S21" s="14" t="s">
        <v>980</v>
      </c>
    </row>
    <row r="22" spans="1:19" ht="14.5">
      <c r="A22" s="13" t="s">
        <v>31</v>
      </c>
      <c r="B22" s="13" t="s">
        <v>1077</v>
      </c>
      <c r="C22" s="86" t="s">
        <v>1059</v>
      </c>
      <c r="D22" s="14" t="s">
        <v>1078</v>
      </c>
      <c r="E22" s="14">
        <v>2650</v>
      </c>
      <c r="F22" s="14" t="s">
        <v>148</v>
      </c>
      <c r="G22" s="14" t="s">
        <v>148</v>
      </c>
      <c r="H22" s="14" t="s">
        <v>1054</v>
      </c>
      <c r="I22" s="14" t="s">
        <v>978</v>
      </c>
      <c r="J22" s="15" t="s">
        <v>149</v>
      </c>
      <c r="K22" s="14" t="s">
        <v>150</v>
      </c>
      <c r="L22" s="16" t="s">
        <v>151</v>
      </c>
      <c r="M22" s="14">
        <v>2650</v>
      </c>
      <c r="N22" s="18">
        <v>43595</v>
      </c>
      <c r="O22" s="15" t="s">
        <v>980</v>
      </c>
      <c r="P22" s="19">
        <v>17</v>
      </c>
      <c r="Q22" s="14" t="s">
        <v>1079</v>
      </c>
      <c r="R22" s="19">
        <v>18</v>
      </c>
      <c r="S22" s="14" t="s">
        <v>1080</v>
      </c>
    </row>
    <row r="23" spans="1:19" ht="14.5">
      <c r="A23" s="13" t="s">
        <v>31</v>
      </c>
      <c r="B23" s="13" t="s">
        <v>1081</v>
      </c>
      <c r="C23" s="86" t="s">
        <v>1082</v>
      </c>
      <c r="D23" s="14" t="s">
        <v>1083</v>
      </c>
      <c r="E23" s="14">
        <v>2665</v>
      </c>
      <c r="F23" s="14" t="s">
        <v>1084</v>
      </c>
      <c r="G23" s="14" t="s">
        <v>1085</v>
      </c>
      <c r="H23" s="14" t="s">
        <v>1054</v>
      </c>
      <c r="I23" s="14" t="s">
        <v>978</v>
      </c>
      <c r="J23" s="15" t="s">
        <v>233</v>
      </c>
      <c r="K23" s="14" t="s">
        <v>234</v>
      </c>
      <c r="L23" s="16" t="s">
        <v>235</v>
      </c>
      <c r="M23" s="14" t="s">
        <v>1086</v>
      </c>
      <c r="N23" s="18">
        <v>44503</v>
      </c>
      <c r="O23" s="15" t="s">
        <v>980</v>
      </c>
      <c r="P23" s="19">
        <v>14</v>
      </c>
      <c r="Q23" s="14" t="s">
        <v>1087</v>
      </c>
      <c r="R23" s="19">
        <v>29</v>
      </c>
      <c r="S23" s="14" t="s">
        <v>1088</v>
      </c>
    </row>
    <row r="24" spans="1:19" ht="14.5">
      <c r="A24" s="13" t="s">
        <v>31</v>
      </c>
      <c r="B24" s="13" t="s">
        <v>227</v>
      </c>
      <c r="C24" s="86" t="s">
        <v>1082</v>
      </c>
      <c r="D24" s="14" t="s">
        <v>229</v>
      </c>
      <c r="E24" s="14">
        <v>2670</v>
      </c>
      <c r="F24" s="14" t="s">
        <v>1089</v>
      </c>
      <c r="G24" s="14" t="s">
        <v>1089</v>
      </c>
      <c r="H24" s="14" t="s">
        <v>1090</v>
      </c>
      <c r="I24" s="14" t="s">
        <v>485</v>
      </c>
      <c r="J24" s="15" t="s">
        <v>230</v>
      </c>
      <c r="K24" s="14" t="s">
        <v>231</v>
      </c>
      <c r="L24" s="16" t="s">
        <v>232</v>
      </c>
      <c r="M24" s="14" t="s">
        <v>1086</v>
      </c>
      <c r="N24" s="18">
        <v>44503</v>
      </c>
      <c r="O24" s="18">
        <v>44503</v>
      </c>
      <c r="P24" s="19">
        <v>23</v>
      </c>
      <c r="Q24" s="14" t="s">
        <v>1091</v>
      </c>
      <c r="R24" s="19">
        <v>41</v>
      </c>
      <c r="S24" s="14" t="s">
        <v>1092</v>
      </c>
    </row>
    <row r="25" spans="1:19" ht="14.5">
      <c r="A25" s="13" t="s">
        <v>31</v>
      </c>
      <c r="B25" s="13" t="s">
        <v>236</v>
      </c>
      <c r="C25" s="25"/>
      <c r="D25" s="14" t="s">
        <v>237</v>
      </c>
      <c r="E25" s="14">
        <v>2680</v>
      </c>
      <c r="F25" s="14" t="s">
        <v>238</v>
      </c>
      <c r="G25" s="14" t="s">
        <v>1093</v>
      </c>
      <c r="H25" s="14" t="s">
        <v>1090</v>
      </c>
      <c r="I25" s="14" t="s">
        <v>485</v>
      </c>
      <c r="J25" s="15" t="s">
        <v>239</v>
      </c>
      <c r="K25" s="14" t="s">
        <v>240</v>
      </c>
      <c r="L25" s="16" t="s">
        <v>241</v>
      </c>
      <c r="M25" s="87">
        <v>2.6252635266026602E+31</v>
      </c>
      <c r="N25" s="18">
        <v>44503</v>
      </c>
      <c r="O25" s="18">
        <v>44503</v>
      </c>
      <c r="P25" s="19">
        <v>21</v>
      </c>
      <c r="Q25" s="14" t="s">
        <v>1094</v>
      </c>
      <c r="R25" s="19">
        <v>25</v>
      </c>
      <c r="S25" s="14" t="s">
        <v>1095</v>
      </c>
    </row>
    <row r="26" spans="1:19" ht="14.5">
      <c r="A26" s="13" t="s">
        <v>31</v>
      </c>
      <c r="B26" s="13" t="s">
        <v>1096</v>
      </c>
      <c r="C26" s="86" t="s">
        <v>1097</v>
      </c>
      <c r="D26" s="14" t="s">
        <v>206</v>
      </c>
      <c r="E26" s="14">
        <v>2700</v>
      </c>
      <c r="F26" s="14" t="s">
        <v>207</v>
      </c>
      <c r="G26" s="14" t="s">
        <v>976</v>
      </c>
      <c r="H26" s="14" t="s">
        <v>977</v>
      </c>
      <c r="I26" s="14" t="s">
        <v>978</v>
      </c>
      <c r="J26" s="15" t="s">
        <v>208</v>
      </c>
      <c r="K26" s="14" t="s">
        <v>209</v>
      </c>
      <c r="L26" s="16" t="s">
        <v>210</v>
      </c>
      <c r="M26" s="14" t="s">
        <v>985</v>
      </c>
      <c r="N26" s="18">
        <v>43595</v>
      </c>
      <c r="O26" s="15" t="s">
        <v>980</v>
      </c>
      <c r="P26" s="19">
        <v>30</v>
      </c>
      <c r="Q26" s="14" t="s">
        <v>1098</v>
      </c>
      <c r="R26" s="19">
        <v>40</v>
      </c>
      <c r="S26" s="14" t="s">
        <v>1098</v>
      </c>
    </row>
    <row r="27" spans="1:19" ht="14.5">
      <c r="A27" s="13" t="s">
        <v>31</v>
      </c>
      <c r="B27" s="13" t="s">
        <v>1099</v>
      </c>
      <c r="C27" s="86" t="s">
        <v>1053</v>
      </c>
      <c r="D27" s="14" t="s">
        <v>1100</v>
      </c>
      <c r="E27" s="14">
        <v>2700</v>
      </c>
      <c r="F27" s="14" t="s">
        <v>207</v>
      </c>
      <c r="G27" s="14" t="s">
        <v>976</v>
      </c>
      <c r="H27" s="14" t="s">
        <v>977</v>
      </c>
      <c r="I27" s="14" t="s">
        <v>978</v>
      </c>
      <c r="J27" s="15">
        <v>43430304</v>
      </c>
      <c r="K27" s="14" t="s">
        <v>1101</v>
      </c>
      <c r="L27" s="16" t="s">
        <v>392</v>
      </c>
      <c r="M27" s="14" t="s">
        <v>1055</v>
      </c>
      <c r="N27" s="18">
        <v>44207</v>
      </c>
      <c r="O27" s="15" t="s">
        <v>980</v>
      </c>
      <c r="P27" s="19">
        <v>5</v>
      </c>
      <c r="Q27" s="14" t="s">
        <v>1056</v>
      </c>
      <c r="R27" s="19">
        <v>3</v>
      </c>
      <c r="S27" s="14" t="s">
        <v>1057</v>
      </c>
    </row>
    <row r="28" spans="1:19" ht="14.5">
      <c r="A28" s="13" t="s">
        <v>31</v>
      </c>
      <c r="B28" s="13" t="s">
        <v>1102</v>
      </c>
      <c r="C28" s="86" t="s">
        <v>1103</v>
      </c>
      <c r="D28" s="14" t="s">
        <v>1104</v>
      </c>
      <c r="E28" s="14">
        <v>2720</v>
      </c>
      <c r="F28" s="14" t="s">
        <v>71</v>
      </c>
      <c r="G28" s="14" t="s">
        <v>976</v>
      </c>
      <c r="H28" s="14" t="s">
        <v>977</v>
      </c>
      <c r="I28" s="14" t="s">
        <v>978</v>
      </c>
      <c r="J28" s="15" t="s">
        <v>72</v>
      </c>
      <c r="K28" s="14" t="s">
        <v>73</v>
      </c>
      <c r="L28" s="16" t="s">
        <v>74</v>
      </c>
      <c r="M28" s="14">
        <v>2720</v>
      </c>
      <c r="N28" s="18">
        <v>43595</v>
      </c>
      <c r="O28" s="15" t="s">
        <v>980</v>
      </c>
      <c r="P28" s="19">
        <v>12</v>
      </c>
      <c r="Q28" s="14" t="s">
        <v>1105</v>
      </c>
      <c r="R28" s="19">
        <v>20</v>
      </c>
      <c r="S28" s="14" t="s">
        <v>1105</v>
      </c>
    </row>
    <row r="29" spans="1:19" ht="14.5">
      <c r="A29" s="13" t="s">
        <v>31</v>
      </c>
      <c r="B29" s="13" t="s">
        <v>1106</v>
      </c>
      <c r="C29" s="86" t="s">
        <v>1107</v>
      </c>
      <c r="D29" s="14" t="s">
        <v>176</v>
      </c>
      <c r="E29" s="14">
        <v>2730</v>
      </c>
      <c r="F29" s="14" t="s">
        <v>177</v>
      </c>
      <c r="G29" s="14" t="s">
        <v>177</v>
      </c>
      <c r="H29" s="14" t="s">
        <v>1054</v>
      </c>
      <c r="I29" s="14" t="s">
        <v>978</v>
      </c>
      <c r="J29" s="15" t="s">
        <v>178</v>
      </c>
      <c r="K29" s="14" t="s">
        <v>179</v>
      </c>
      <c r="L29" s="16" t="s">
        <v>180</v>
      </c>
      <c r="M29" s="14">
        <v>2730</v>
      </c>
      <c r="N29" s="18">
        <v>43595</v>
      </c>
      <c r="O29" s="15" t="s">
        <v>980</v>
      </c>
      <c r="P29" s="19">
        <v>14</v>
      </c>
      <c r="Q29" s="14" t="s">
        <v>1108</v>
      </c>
      <c r="R29" s="19">
        <v>12</v>
      </c>
      <c r="S29" s="14" t="s">
        <v>1108</v>
      </c>
    </row>
    <row r="30" spans="1:19" ht="14.5">
      <c r="A30" s="13" t="s">
        <v>31</v>
      </c>
      <c r="B30" s="13" t="s">
        <v>1099</v>
      </c>
      <c r="C30" s="86" t="s">
        <v>1053</v>
      </c>
      <c r="D30" s="14" t="s">
        <v>1109</v>
      </c>
      <c r="E30" s="14">
        <v>2730</v>
      </c>
      <c r="F30" s="14" t="s">
        <v>177</v>
      </c>
      <c r="G30" s="14" t="s">
        <v>177</v>
      </c>
      <c r="H30" s="14" t="s">
        <v>1054</v>
      </c>
      <c r="I30" s="14" t="s">
        <v>978</v>
      </c>
      <c r="J30" s="15" t="s">
        <v>1110</v>
      </c>
      <c r="K30" s="14" t="s">
        <v>1111</v>
      </c>
      <c r="L30" s="16" t="s">
        <v>1112</v>
      </c>
      <c r="M30" s="14" t="s">
        <v>1055</v>
      </c>
      <c r="N30" s="18">
        <v>44371</v>
      </c>
      <c r="O30" s="15" t="s">
        <v>980</v>
      </c>
      <c r="P30" s="19">
        <v>3</v>
      </c>
      <c r="Q30" s="14" t="s">
        <v>1056</v>
      </c>
      <c r="R30" s="19">
        <v>2</v>
      </c>
      <c r="S30" s="14" t="s">
        <v>1057</v>
      </c>
    </row>
    <row r="31" spans="1:19" ht="14.5">
      <c r="A31" s="13" t="s">
        <v>31</v>
      </c>
      <c r="B31" s="13" t="s">
        <v>1113</v>
      </c>
      <c r="C31" s="86" t="s">
        <v>1114</v>
      </c>
      <c r="D31" s="14" t="s">
        <v>108</v>
      </c>
      <c r="E31" s="14">
        <v>2750</v>
      </c>
      <c r="F31" s="14" t="s">
        <v>109</v>
      </c>
      <c r="G31" s="14" t="s">
        <v>109</v>
      </c>
      <c r="H31" s="14" t="s">
        <v>1054</v>
      </c>
      <c r="I31" s="14" t="s">
        <v>978</v>
      </c>
      <c r="J31" s="15" t="s">
        <v>1115</v>
      </c>
      <c r="K31" s="14" t="s">
        <v>110</v>
      </c>
      <c r="L31" s="16" t="s">
        <v>111</v>
      </c>
      <c r="M31" s="14" t="s">
        <v>1116</v>
      </c>
      <c r="N31" s="18">
        <v>43595</v>
      </c>
      <c r="O31" s="15" t="s">
        <v>980</v>
      </c>
      <c r="P31" s="19">
        <v>24</v>
      </c>
      <c r="Q31" s="14" t="s">
        <v>1117</v>
      </c>
      <c r="R31" s="19">
        <v>23</v>
      </c>
      <c r="S31" s="14" t="s">
        <v>1118</v>
      </c>
    </row>
    <row r="32" spans="1:19" ht="14.5">
      <c r="A32" s="13" t="s">
        <v>31</v>
      </c>
      <c r="B32" s="13" t="s">
        <v>1119</v>
      </c>
      <c r="C32" s="86" t="s">
        <v>1024</v>
      </c>
      <c r="D32" s="14" t="s">
        <v>460</v>
      </c>
      <c r="E32" s="14">
        <v>2770</v>
      </c>
      <c r="F32" s="14" t="s">
        <v>461</v>
      </c>
      <c r="G32" s="14" t="s">
        <v>1120</v>
      </c>
      <c r="H32" s="14" t="s">
        <v>977</v>
      </c>
      <c r="I32" s="14" t="s">
        <v>978</v>
      </c>
      <c r="J32" s="15">
        <v>70100077</v>
      </c>
      <c r="K32" s="14" t="s">
        <v>1121</v>
      </c>
      <c r="L32" s="16" t="s">
        <v>462</v>
      </c>
      <c r="M32" s="14" t="s">
        <v>1026</v>
      </c>
      <c r="N32" s="18">
        <v>44318</v>
      </c>
      <c r="O32" s="15" t="s">
        <v>980</v>
      </c>
      <c r="P32" s="19">
        <v>23</v>
      </c>
      <c r="Q32" s="14" t="s">
        <v>1122</v>
      </c>
      <c r="R32" s="19">
        <v>38</v>
      </c>
      <c r="S32" s="14" t="s">
        <v>1123</v>
      </c>
    </row>
    <row r="33" spans="1:19" ht="14.5">
      <c r="A33" s="13" t="s">
        <v>31</v>
      </c>
      <c r="B33" s="13" t="s">
        <v>361</v>
      </c>
      <c r="C33" s="86" t="s">
        <v>974</v>
      </c>
      <c r="D33" s="14" t="s">
        <v>1124</v>
      </c>
      <c r="E33" s="14">
        <v>2770</v>
      </c>
      <c r="F33" s="14" t="s">
        <v>461</v>
      </c>
      <c r="G33" s="14" t="s">
        <v>1120</v>
      </c>
      <c r="H33" s="14" t="s">
        <v>977</v>
      </c>
      <c r="I33" s="14" t="s">
        <v>978</v>
      </c>
      <c r="J33" s="15">
        <v>38422320</v>
      </c>
      <c r="K33" s="14" t="s">
        <v>362</v>
      </c>
      <c r="L33" s="16" t="s">
        <v>363</v>
      </c>
      <c r="M33" s="14" t="s">
        <v>996</v>
      </c>
      <c r="N33" s="18">
        <v>43662</v>
      </c>
      <c r="O33" s="18">
        <v>44318</v>
      </c>
      <c r="P33" s="19" t="s">
        <v>980</v>
      </c>
      <c r="Q33" s="14" t="s">
        <v>980</v>
      </c>
      <c r="R33" s="19">
        <v>8</v>
      </c>
      <c r="S33" s="14" t="s">
        <v>1125</v>
      </c>
    </row>
    <row r="34" spans="1:19" ht="14.5">
      <c r="A34" s="13" t="s">
        <v>31</v>
      </c>
      <c r="B34" s="13" t="s">
        <v>1126</v>
      </c>
      <c r="C34" s="86" t="s">
        <v>1127</v>
      </c>
      <c r="D34" s="14" t="s">
        <v>55</v>
      </c>
      <c r="E34" s="14">
        <v>2800</v>
      </c>
      <c r="F34" s="14" t="s">
        <v>1128</v>
      </c>
      <c r="G34" s="14" t="s">
        <v>1129</v>
      </c>
      <c r="H34" s="14" t="s">
        <v>1054</v>
      </c>
      <c r="I34" s="14" t="s">
        <v>978</v>
      </c>
      <c r="J34" s="15" t="s">
        <v>56</v>
      </c>
      <c r="K34" s="14" t="s">
        <v>57</v>
      </c>
      <c r="L34" s="16" t="s">
        <v>58</v>
      </c>
      <c r="M34" s="14" t="s">
        <v>1130</v>
      </c>
      <c r="N34" s="18">
        <v>43595</v>
      </c>
      <c r="O34" s="15" t="s">
        <v>980</v>
      </c>
      <c r="P34" s="19">
        <v>22</v>
      </c>
      <c r="Q34" s="14" t="s">
        <v>1131</v>
      </c>
      <c r="R34" s="19">
        <v>16</v>
      </c>
      <c r="S34" s="14">
        <v>2800</v>
      </c>
    </row>
    <row r="35" spans="1:19" ht="14.5">
      <c r="A35" s="13" t="s">
        <v>31</v>
      </c>
      <c r="B35" s="13" t="s">
        <v>1132</v>
      </c>
      <c r="C35" s="86" t="s">
        <v>1133</v>
      </c>
      <c r="D35" s="14" t="s">
        <v>101</v>
      </c>
      <c r="E35" s="14">
        <v>2820</v>
      </c>
      <c r="F35" s="14" t="s">
        <v>102</v>
      </c>
      <c r="G35" s="14" t="s">
        <v>102</v>
      </c>
      <c r="H35" s="14" t="s">
        <v>1054</v>
      </c>
      <c r="I35" s="14" t="s">
        <v>978</v>
      </c>
      <c r="J35" s="15" t="s">
        <v>103</v>
      </c>
      <c r="K35" s="14" t="s">
        <v>104</v>
      </c>
      <c r="L35" s="16" t="s">
        <v>105</v>
      </c>
      <c r="M35" s="14" t="s">
        <v>1134</v>
      </c>
      <c r="N35" s="18">
        <v>43595</v>
      </c>
      <c r="O35" s="15" t="s">
        <v>980</v>
      </c>
      <c r="P35" s="19">
        <v>18</v>
      </c>
      <c r="Q35" s="14" t="s">
        <v>1135</v>
      </c>
      <c r="R35" s="19">
        <v>5</v>
      </c>
      <c r="S35" s="14">
        <v>2820</v>
      </c>
    </row>
    <row r="36" spans="1:19" ht="14.5">
      <c r="A36" s="13" t="s">
        <v>31</v>
      </c>
      <c r="B36" s="13" t="s">
        <v>1136</v>
      </c>
      <c r="C36" s="86" t="s">
        <v>1137</v>
      </c>
      <c r="D36" s="14" t="s">
        <v>383</v>
      </c>
      <c r="E36" s="14">
        <v>2820</v>
      </c>
      <c r="F36" s="14" t="s">
        <v>102</v>
      </c>
      <c r="G36" s="14" t="s">
        <v>102</v>
      </c>
      <c r="H36" s="14" t="s">
        <v>1054</v>
      </c>
      <c r="I36" s="14" t="s">
        <v>978</v>
      </c>
      <c r="J36" s="15" t="s">
        <v>103</v>
      </c>
      <c r="K36" s="14" t="s">
        <v>384</v>
      </c>
      <c r="L36" s="16" t="s">
        <v>385</v>
      </c>
      <c r="M36" s="14" t="s">
        <v>1134</v>
      </c>
      <c r="N36" s="18">
        <v>43595</v>
      </c>
      <c r="O36" s="15" t="s">
        <v>980</v>
      </c>
      <c r="P36" s="19">
        <v>18</v>
      </c>
      <c r="Q36" s="14" t="s">
        <v>1138</v>
      </c>
      <c r="R36" s="19">
        <v>25</v>
      </c>
      <c r="S36" s="14" t="s">
        <v>1139</v>
      </c>
    </row>
    <row r="37" spans="1:19" ht="14.5">
      <c r="A37" s="13" t="s">
        <v>31</v>
      </c>
      <c r="B37" s="13" t="s">
        <v>1140</v>
      </c>
      <c r="C37" s="86" t="s">
        <v>1127</v>
      </c>
      <c r="D37" s="14" t="s">
        <v>1141</v>
      </c>
      <c r="E37" s="14">
        <v>2830</v>
      </c>
      <c r="F37" s="14" t="s">
        <v>60</v>
      </c>
      <c r="G37" s="14" t="s">
        <v>1129</v>
      </c>
      <c r="H37" s="14" t="s">
        <v>1054</v>
      </c>
      <c r="I37" s="14" t="s">
        <v>978</v>
      </c>
      <c r="J37" s="15" t="s">
        <v>61</v>
      </c>
      <c r="K37" s="14" t="s">
        <v>62</v>
      </c>
      <c r="L37" s="16" t="s">
        <v>63</v>
      </c>
      <c r="M37" s="14" t="s">
        <v>1130</v>
      </c>
      <c r="N37" s="18">
        <v>43595</v>
      </c>
      <c r="O37" s="15" t="s">
        <v>980</v>
      </c>
      <c r="P37" s="19">
        <v>23</v>
      </c>
      <c r="Q37" s="14">
        <v>2830</v>
      </c>
      <c r="R37" s="19">
        <v>21</v>
      </c>
      <c r="S37" s="14">
        <v>2830</v>
      </c>
    </row>
    <row r="38" spans="1:19" ht="14.5">
      <c r="A38" s="13" t="s">
        <v>31</v>
      </c>
      <c r="B38" s="13" t="s">
        <v>1142</v>
      </c>
      <c r="C38" s="86" t="s">
        <v>1143</v>
      </c>
      <c r="D38" s="14" t="s">
        <v>252</v>
      </c>
      <c r="E38" s="14">
        <v>2840</v>
      </c>
      <c r="F38" s="14" t="s">
        <v>253</v>
      </c>
      <c r="G38" s="14" t="s">
        <v>1144</v>
      </c>
      <c r="H38" s="14" t="s">
        <v>1145</v>
      </c>
      <c r="I38" s="14" t="s">
        <v>978</v>
      </c>
      <c r="J38" s="15" t="s">
        <v>1146</v>
      </c>
      <c r="K38" s="14" t="s">
        <v>254</v>
      </c>
      <c r="L38" s="16" t="s">
        <v>255</v>
      </c>
      <c r="M38" s="14" t="s">
        <v>1147</v>
      </c>
      <c r="N38" s="18">
        <v>43595</v>
      </c>
      <c r="O38" s="15" t="s">
        <v>980</v>
      </c>
      <c r="P38" s="19">
        <v>22</v>
      </c>
      <c r="Q38" s="14" t="s">
        <v>1148</v>
      </c>
      <c r="R38" s="19">
        <v>31</v>
      </c>
      <c r="S38" s="14" t="s">
        <v>1149</v>
      </c>
    </row>
    <row r="39" spans="1:19" ht="14.5">
      <c r="A39" s="13" t="s">
        <v>31</v>
      </c>
      <c r="B39" s="13" t="s">
        <v>1150</v>
      </c>
      <c r="C39" s="86" t="s">
        <v>1097</v>
      </c>
      <c r="D39" s="14" t="s">
        <v>212</v>
      </c>
      <c r="E39" s="14">
        <v>2860</v>
      </c>
      <c r="F39" s="14" t="s">
        <v>213</v>
      </c>
      <c r="G39" s="14" t="s">
        <v>1151</v>
      </c>
      <c r="H39" s="14" t="s">
        <v>1054</v>
      </c>
      <c r="I39" s="14" t="s">
        <v>978</v>
      </c>
      <c r="J39" s="15" t="s">
        <v>214</v>
      </c>
      <c r="K39" s="14" t="s">
        <v>215</v>
      </c>
      <c r="L39" s="16" t="s">
        <v>216</v>
      </c>
      <c r="M39" s="14" t="s">
        <v>985</v>
      </c>
      <c r="N39" s="18">
        <v>43595</v>
      </c>
      <c r="O39" s="15" t="s">
        <v>980</v>
      </c>
      <c r="P39" s="19">
        <v>36</v>
      </c>
      <c r="Q39" s="14" t="s">
        <v>1152</v>
      </c>
      <c r="R39" s="19">
        <v>46</v>
      </c>
      <c r="S39" s="14" t="s">
        <v>1153</v>
      </c>
    </row>
    <row r="40" spans="1:19" ht="14.5">
      <c r="A40" s="13" t="s">
        <v>31</v>
      </c>
      <c r="B40" s="13" t="s">
        <v>1154</v>
      </c>
      <c r="C40" s="86" t="s">
        <v>1097</v>
      </c>
      <c r="D40" s="14" t="s">
        <v>200</v>
      </c>
      <c r="E40" s="14">
        <v>2880</v>
      </c>
      <c r="F40" s="14" t="s">
        <v>201</v>
      </c>
      <c r="G40" s="14" t="s">
        <v>1151</v>
      </c>
      <c r="H40" s="14" t="s">
        <v>1054</v>
      </c>
      <c r="I40" s="14" t="s">
        <v>978</v>
      </c>
      <c r="J40" s="15" t="s">
        <v>202</v>
      </c>
      <c r="K40" s="14" t="s">
        <v>203</v>
      </c>
      <c r="L40" s="16" t="s">
        <v>204</v>
      </c>
      <c r="M40" s="14" t="s">
        <v>985</v>
      </c>
      <c r="N40" s="18">
        <v>43595</v>
      </c>
      <c r="O40" s="15" t="s">
        <v>980</v>
      </c>
      <c r="P40" s="19">
        <v>18</v>
      </c>
      <c r="Q40" s="14" t="s">
        <v>1155</v>
      </c>
      <c r="R40" s="19">
        <v>16</v>
      </c>
      <c r="S40" s="14" t="s">
        <v>1156</v>
      </c>
    </row>
    <row r="41" spans="1:19" ht="14.5">
      <c r="A41" s="13" t="s">
        <v>31</v>
      </c>
      <c r="B41" s="13" t="s">
        <v>1157</v>
      </c>
      <c r="C41" s="86" t="s">
        <v>1158</v>
      </c>
      <c r="D41" s="14" t="s">
        <v>143</v>
      </c>
      <c r="E41" s="14">
        <v>2900</v>
      </c>
      <c r="F41" s="14" t="s">
        <v>144</v>
      </c>
      <c r="G41" s="14" t="s">
        <v>102</v>
      </c>
      <c r="H41" s="14" t="s">
        <v>1054</v>
      </c>
      <c r="I41" s="14" t="s">
        <v>978</v>
      </c>
      <c r="J41" s="15" t="s">
        <v>137</v>
      </c>
      <c r="K41" s="14" t="s">
        <v>145</v>
      </c>
      <c r="L41" s="16" t="s">
        <v>146</v>
      </c>
      <c r="M41" s="14">
        <v>2900</v>
      </c>
      <c r="N41" s="18">
        <v>43595</v>
      </c>
      <c r="O41" s="15" t="s">
        <v>980</v>
      </c>
      <c r="P41" s="19">
        <v>25</v>
      </c>
      <c r="Q41" s="14">
        <v>2900</v>
      </c>
      <c r="R41" s="19">
        <v>16</v>
      </c>
      <c r="S41" s="14">
        <v>2900</v>
      </c>
    </row>
    <row r="42" spans="1:19" ht="14.5">
      <c r="A42" s="13" t="s">
        <v>31</v>
      </c>
      <c r="B42" s="13" t="s">
        <v>1159</v>
      </c>
      <c r="C42" s="86" t="s">
        <v>1158</v>
      </c>
      <c r="D42" s="14" t="s">
        <v>1160</v>
      </c>
      <c r="E42" s="14">
        <v>2920</v>
      </c>
      <c r="F42" s="14" t="s">
        <v>136</v>
      </c>
      <c r="G42" s="14" t="s">
        <v>102</v>
      </c>
      <c r="H42" s="14" t="s">
        <v>1054</v>
      </c>
      <c r="I42" s="14" t="s">
        <v>978</v>
      </c>
      <c r="J42" s="15" t="s">
        <v>137</v>
      </c>
      <c r="K42" s="14" t="s">
        <v>138</v>
      </c>
      <c r="L42" s="16" t="s">
        <v>139</v>
      </c>
      <c r="M42" s="14" t="s">
        <v>1161</v>
      </c>
      <c r="N42" s="18">
        <v>43595</v>
      </c>
      <c r="O42" s="15" t="s">
        <v>980</v>
      </c>
      <c r="P42" s="19">
        <v>22</v>
      </c>
      <c r="Q42" s="14" t="s">
        <v>1162</v>
      </c>
      <c r="R42" s="19">
        <v>22</v>
      </c>
      <c r="S42" s="14" t="s">
        <v>1162</v>
      </c>
    </row>
    <row r="43" spans="1:19" ht="14.5">
      <c r="A43" s="13" t="s">
        <v>31</v>
      </c>
      <c r="B43" s="13" t="s">
        <v>1163</v>
      </c>
      <c r="C43" s="86" t="s">
        <v>1164</v>
      </c>
      <c r="D43" s="14" t="s">
        <v>1165</v>
      </c>
      <c r="E43" s="14">
        <v>2970</v>
      </c>
      <c r="F43" s="14" t="s">
        <v>41</v>
      </c>
      <c r="G43" s="14" t="s">
        <v>41</v>
      </c>
      <c r="H43" s="14" t="s">
        <v>1145</v>
      </c>
      <c r="I43" s="14" t="s">
        <v>978</v>
      </c>
      <c r="J43" s="15" t="s">
        <v>42</v>
      </c>
      <c r="K43" s="14" t="s">
        <v>43</v>
      </c>
      <c r="L43" s="16" t="s">
        <v>44</v>
      </c>
      <c r="M43" s="14" t="s">
        <v>1166</v>
      </c>
      <c r="N43" s="18">
        <v>43595</v>
      </c>
      <c r="O43" s="15" t="s">
        <v>980</v>
      </c>
      <c r="P43" s="19">
        <v>40</v>
      </c>
      <c r="Q43" s="14" t="s">
        <v>1167</v>
      </c>
      <c r="R43" s="19">
        <v>51</v>
      </c>
      <c r="S43" s="14" t="s">
        <v>1168</v>
      </c>
    </row>
    <row r="44" spans="1:19" ht="14.5">
      <c r="A44" s="13" t="s">
        <v>31</v>
      </c>
      <c r="B44" s="13" t="s">
        <v>1169</v>
      </c>
      <c r="C44" s="86" t="s">
        <v>1170</v>
      </c>
      <c r="D44" s="14" t="s">
        <v>1171</v>
      </c>
      <c r="E44" s="14">
        <v>3000</v>
      </c>
      <c r="F44" s="14" t="s">
        <v>66</v>
      </c>
      <c r="G44" s="14" t="s">
        <v>66</v>
      </c>
      <c r="H44" s="14" t="s">
        <v>1145</v>
      </c>
      <c r="I44" s="14" t="s">
        <v>978</v>
      </c>
      <c r="J44" s="15" t="s">
        <v>1172</v>
      </c>
      <c r="K44" s="14" t="s">
        <v>67</v>
      </c>
      <c r="L44" s="16" t="s">
        <v>68</v>
      </c>
      <c r="M44" s="14" t="s">
        <v>1173</v>
      </c>
      <c r="N44" s="18">
        <v>43595</v>
      </c>
      <c r="O44" s="15" t="s">
        <v>980</v>
      </c>
      <c r="P44" s="19">
        <v>17</v>
      </c>
      <c r="Q44" s="14" t="s">
        <v>1174</v>
      </c>
      <c r="R44" s="19">
        <v>30</v>
      </c>
      <c r="S44" s="14" t="s">
        <v>1175</v>
      </c>
    </row>
    <row r="45" spans="1:19" ht="14.5">
      <c r="A45" s="13" t="s">
        <v>31</v>
      </c>
      <c r="B45" s="13" t="s">
        <v>1176</v>
      </c>
      <c r="C45" s="86" t="s">
        <v>1177</v>
      </c>
      <c r="D45" s="14" t="s">
        <v>334</v>
      </c>
      <c r="E45" s="14">
        <v>3060</v>
      </c>
      <c r="F45" s="14" t="s">
        <v>335</v>
      </c>
      <c r="G45" s="14" t="s">
        <v>66</v>
      </c>
      <c r="H45" s="14" t="s">
        <v>1145</v>
      </c>
      <c r="I45" s="14" t="s">
        <v>978</v>
      </c>
      <c r="J45" s="15" t="s">
        <v>336</v>
      </c>
      <c r="K45" s="14" t="s">
        <v>337</v>
      </c>
      <c r="L45" s="16" t="s">
        <v>338</v>
      </c>
      <c r="M45" s="14" t="s">
        <v>1178</v>
      </c>
      <c r="N45" s="18">
        <v>43595</v>
      </c>
      <c r="O45" s="15" t="s">
        <v>980</v>
      </c>
      <c r="P45" s="19">
        <v>41</v>
      </c>
      <c r="Q45" s="14" t="s">
        <v>1179</v>
      </c>
      <c r="R45" s="19">
        <v>44</v>
      </c>
      <c r="S45" s="14" t="s">
        <v>1180</v>
      </c>
    </row>
    <row r="46" spans="1:19" ht="14.5">
      <c r="A46" s="13" t="s">
        <v>31</v>
      </c>
      <c r="B46" s="13" t="s">
        <v>1181</v>
      </c>
      <c r="C46" s="86" t="s">
        <v>1177</v>
      </c>
      <c r="D46" s="14" t="s">
        <v>340</v>
      </c>
      <c r="E46" s="14">
        <v>3100</v>
      </c>
      <c r="F46" s="14" t="s">
        <v>341</v>
      </c>
      <c r="G46" s="14" t="s">
        <v>66</v>
      </c>
      <c r="H46" s="14" t="s">
        <v>1145</v>
      </c>
      <c r="I46" s="14" t="s">
        <v>978</v>
      </c>
      <c r="J46" s="15" t="s">
        <v>342</v>
      </c>
      <c r="K46" s="14" t="s">
        <v>343</v>
      </c>
      <c r="L46" s="16" t="s">
        <v>344</v>
      </c>
      <c r="M46" s="14" t="s">
        <v>1178</v>
      </c>
      <c r="N46" s="18">
        <v>43595</v>
      </c>
      <c r="O46" s="15" t="s">
        <v>980</v>
      </c>
      <c r="P46" s="19">
        <v>9</v>
      </c>
      <c r="Q46" s="14" t="s">
        <v>1182</v>
      </c>
      <c r="R46" s="19">
        <v>18</v>
      </c>
      <c r="S46" s="14" t="s">
        <v>1183</v>
      </c>
    </row>
    <row r="47" spans="1:19" ht="14.5">
      <c r="A47" s="13" t="s">
        <v>31</v>
      </c>
      <c r="B47" s="13" t="s">
        <v>1184</v>
      </c>
      <c r="C47" s="86" t="s">
        <v>1185</v>
      </c>
      <c r="D47" s="14" t="s">
        <v>1186</v>
      </c>
      <c r="E47" s="14">
        <v>3200</v>
      </c>
      <c r="F47" s="14" t="s">
        <v>319</v>
      </c>
      <c r="G47" s="14" t="s">
        <v>1187</v>
      </c>
      <c r="H47" s="14" t="s">
        <v>1145</v>
      </c>
      <c r="I47" s="14" t="s">
        <v>978</v>
      </c>
      <c r="J47" s="15" t="s">
        <v>320</v>
      </c>
      <c r="K47" s="14" t="s">
        <v>321</v>
      </c>
      <c r="L47" s="16" t="s">
        <v>322</v>
      </c>
      <c r="M47" s="14">
        <v>3200</v>
      </c>
      <c r="N47" s="18">
        <v>43595</v>
      </c>
      <c r="O47" s="15" t="s">
        <v>980</v>
      </c>
      <c r="P47" s="19">
        <v>25</v>
      </c>
      <c r="Q47" s="14">
        <v>3200</v>
      </c>
      <c r="R47" s="19">
        <v>27</v>
      </c>
      <c r="S47" s="14" t="s">
        <v>1188</v>
      </c>
    </row>
    <row r="48" spans="1:19" ht="14.5">
      <c r="A48" s="13" t="s">
        <v>31</v>
      </c>
      <c r="B48" s="13" t="s">
        <v>1189</v>
      </c>
      <c r="C48" s="86" t="s">
        <v>1185</v>
      </c>
      <c r="D48" s="14" t="s">
        <v>1190</v>
      </c>
      <c r="E48" s="14">
        <v>3220</v>
      </c>
      <c r="F48" s="14" t="s">
        <v>1191</v>
      </c>
      <c r="G48" s="14" t="s">
        <v>1187</v>
      </c>
      <c r="H48" s="14" t="s">
        <v>1145</v>
      </c>
      <c r="I48" s="14" t="s">
        <v>978</v>
      </c>
      <c r="J48" s="15" t="s">
        <v>1192</v>
      </c>
      <c r="K48" s="14" t="s">
        <v>1193</v>
      </c>
      <c r="L48" s="16" t="s">
        <v>1194</v>
      </c>
      <c r="M48" s="14" t="s">
        <v>1195</v>
      </c>
      <c r="N48" s="18">
        <v>43595</v>
      </c>
      <c r="O48" s="15" t="s">
        <v>980</v>
      </c>
      <c r="P48" s="19">
        <v>21</v>
      </c>
      <c r="Q48" s="14" t="s">
        <v>1196</v>
      </c>
      <c r="R48" s="19">
        <v>23</v>
      </c>
      <c r="S48" s="14" t="s">
        <v>1196</v>
      </c>
    </row>
    <row r="49" spans="1:19" ht="14.5">
      <c r="A49" s="13" t="s">
        <v>31</v>
      </c>
      <c r="B49" s="13" t="s">
        <v>1197</v>
      </c>
      <c r="C49" s="86" t="s">
        <v>1198</v>
      </c>
      <c r="D49" s="14" t="s">
        <v>1199</v>
      </c>
      <c r="E49" s="14">
        <v>3250</v>
      </c>
      <c r="F49" s="14" t="s">
        <v>188</v>
      </c>
      <c r="G49" s="14" t="s">
        <v>1187</v>
      </c>
      <c r="H49" s="14" t="s">
        <v>1145</v>
      </c>
      <c r="I49" s="14" t="s">
        <v>978</v>
      </c>
      <c r="J49" s="15" t="s">
        <v>189</v>
      </c>
      <c r="K49" s="14" t="s">
        <v>190</v>
      </c>
      <c r="L49" s="16" t="s">
        <v>191</v>
      </c>
      <c r="M49" s="14" t="s">
        <v>1200</v>
      </c>
      <c r="N49" s="18">
        <v>43595</v>
      </c>
      <c r="O49" s="15" t="s">
        <v>980</v>
      </c>
      <c r="P49" s="19">
        <v>37</v>
      </c>
      <c r="Q49" s="14" t="s">
        <v>1201</v>
      </c>
      <c r="R49" s="19">
        <v>33</v>
      </c>
      <c r="S49" s="14" t="s">
        <v>1202</v>
      </c>
    </row>
    <row r="50" spans="1:19" ht="14.5">
      <c r="A50" s="13" t="s">
        <v>31</v>
      </c>
      <c r="B50" s="13" t="s">
        <v>1203</v>
      </c>
      <c r="C50" s="23" t="s">
        <v>1204</v>
      </c>
      <c r="D50" s="14" t="s">
        <v>395</v>
      </c>
      <c r="E50" s="14">
        <v>8260</v>
      </c>
      <c r="F50" s="14" t="s">
        <v>396</v>
      </c>
      <c r="G50" s="14" t="s">
        <v>1205</v>
      </c>
      <c r="H50" s="14" t="s">
        <v>1206</v>
      </c>
      <c r="I50" s="14" t="s">
        <v>1207</v>
      </c>
      <c r="J50" s="15" t="s">
        <v>397</v>
      </c>
      <c r="K50" s="14" t="s">
        <v>398</v>
      </c>
      <c r="L50" s="16" t="s">
        <v>399</v>
      </c>
      <c r="M50" s="14" t="s">
        <v>1208</v>
      </c>
      <c r="N50" s="18">
        <v>43647</v>
      </c>
      <c r="O50" s="15" t="s">
        <v>980</v>
      </c>
      <c r="P50" s="19">
        <v>39</v>
      </c>
      <c r="Q50" s="14" t="s">
        <v>1209</v>
      </c>
      <c r="R50" s="19">
        <v>45</v>
      </c>
      <c r="S50" s="14" t="s">
        <v>1210</v>
      </c>
    </row>
    <row r="51" spans="1:19" ht="14.5">
      <c r="A51" s="13" t="s">
        <v>31</v>
      </c>
      <c r="B51" s="13" t="s">
        <v>1211</v>
      </c>
      <c r="C51" s="86" t="s">
        <v>1185</v>
      </c>
      <c r="D51" s="14" t="s">
        <v>1212</v>
      </c>
      <c r="E51" s="14">
        <v>3390</v>
      </c>
      <c r="F51" s="14" t="s">
        <v>324</v>
      </c>
      <c r="G51" s="14" t="s">
        <v>1213</v>
      </c>
      <c r="H51" s="14" t="s">
        <v>1145</v>
      </c>
      <c r="I51" s="14" t="s">
        <v>978</v>
      </c>
      <c r="J51" s="15">
        <v>48727033</v>
      </c>
      <c r="K51" s="14" t="s">
        <v>325</v>
      </c>
      <c r="L51" s="16" t="s">
        <v>326</v>
      </c>
      <c r="M51" s="14" t="s">
        <v>1214</v>
      </c>
      <c r="N51" s="18">
        <v>44299</v>
      </c>
      <c r="O51" s="15" t="s">
        <v>980</v>
      </c>
      <c r="P51" s="19">
        <v>3</v>
      </c>
      <c r="Q51" s="14" t="s">
        <v>1215</v>
      </c>
      <c r="R51" s="19">
        <v>11</v>
      </c>
      <c r="S51" s="14" t="s">
        <v>1216</v>
      </c>
    </row>
    <row r="52" spans="1:19" ht="14.5">
      <c r="A52" s="13" t="s">
        <v>31</v>
      </c>
      <c r="B52" s="13" t="s">
        <v>1217</v>
      </c>
      <c r="C52" s="86" t="s">
        <v>1218</v>
      </c>
      <c r="D52" s="14" t="s">
        <v>1219</v>
      </c>
      <c r="E52" s="14">
        <v>3400</v>
      </c>
      <c r="F52" s="14" t="s">
        <v>430</v>
      </c>
      <c r="G52" s="14" t="s">
        <v>430</v>
      </c>
      <c r="H52" s="14" t="s">
        <v>1145</v>
      </c>
      <c r="I52" s="14" t="s">
        <v>978</v>
      </c>
      <c r="J52" s="15">
        <v>48242111</v>
      </c>
      <c r="K52" s="14" t="s">
        <v>431</v>
      </c>
      <c r="L52" s="16" t="s">
        <v>432</v>
      </c>
      <c r="M52" s="14" t="s">
        <v>1220</v>
      </c>
      <c r="N52" s="18">
        <v>43862</v>
      </c>
      <c r="O52" s="15" t="s">
        <v>980</v>
      </c>
      <c r="P52" s="19">
        <v>15</v>
      </c>
      <c r="Q52" s="14" t="s">
        <v>1221</v>
      </c>
      <c r="R52" s="19">
        <v>36</v>
      </c>
      <c r="S52" s="14" t="s">
        <v>1221</v>
      </c>
    </row>
    <row r="53" spans="1:19" ht="14.5">
      <c r="A53" s="13" t="s">
        <v>31</v>
      </c>
      <c r="B53" s="13" t="s">
        <v>1222</v>
      </c>
      <c r="C53" s="86" t="s">
        <v>1218</v>
      </c>
      <c r="D53" s="14" t="s">
        <v>1223</v>
      </c>
      <c r="E53" s="14">
        <v>3450</v>
      </c>
      <c r="F53" s="14" t="s">
        <v>126</v>
      </c>
      <c r="G53" s="14" t="s">
        <v>126</v>
      </c>
      <c r="H53" s="14" t="s">
        <v>1145</v>
      </c>
      <c r="I53" s="14" t="s">
        <v>978</v>
      </c>
      <c r="J53" s="15" t="s">
        <v>127</v>
      </c>
      <c r="K53" s="14" t="s">
        <v>128</v>
      </c>
      <c r="L53" s="16" t="s">
        <v>129</v>
      </c>
      <c r="M53" s="14" t="s">
        <v>1220</v>
      </c>
      <c r="N53" s="18">
        <v>43595</v>
      </c>
      <c r="O53" s="15" t="s">
        <v>980</v>
      </c>
      <c r="P53" s="19">
        <v>12</v>
      </c>
      <c r="Q53" s="14" t="s">
        <v>1224</v>
      </c>
      <c r="R53" s="19">
        <v>24</v>
      </c>
      <c r="S53" s="14" t="s">
        <v>1225</v>
      </c>
    </row>
    <row r="54" spans="1:19" ht="14.5">
      <c r="A54" s="13" t="s">
        <v>31</v>
      </c>
      <c r="B54" s="13" t="s">
        <v>1226</v>
      </c>
      <c r="C54" s="86" t="s">
        <v>1227</v>
      </c>
      <c r="D54" s="14" t="s">
        <v>194</v>
      </c>
      <c r="E54" s="14">
        <v>3460</v>
      </c>
      <c r="F54" s="14" t="s">
        <v>195</v>
      </c>
      <c r="G54" s="14" t="s">
        <v>1144</v>
      </c>
      <c r="H54" s="14" t="s">
        <v>1145</v>
      </c>
      <c r="I54" s="14" t="s">
        <v>978</v>
      </c>
      <c r="J54" s="15" t="s">
        <v>1228</v>
      </c>
      <c r="K54" s="14" t="s">
        <v>196</v>
      </c>
      <c r="L54" s="16" t="s">
        <v>197</v>
      </c>
      <c r="M54" s="14">
        <v>3460</v>
      </c>
      <c r="N54" s="18">
        <v>43595</v>
      </c>
      <c r="O54" s="15" t="s">
        <v>980</v>
      </c>
      <c r="P54" s="19">
        <v>39</v>
      </c>
      <c r="Q54" s="14">
        <v>3460</v>
      </c>
      <c r="R54" s="19">
        <v>53</v>
      </c>
      <c r="S54" s="14" t="s">
        <v>1229</v>
      </c>
    </row>
    <row r="55" spans="1:19" ht="14.5">
      <c r="A55" s="13" t="s">
        <v>31</v>
      </c>
      <c r="B55" s="13" t="s">
        <v>1230</v>
      </c>
      <c r="C55" s="86" t="s">
        <v>1231</v>
      </c>
      <c r="D55" s="14" t="s">
        <v>1232</v>
      </c>
      <c r="E55" s="14">
        <v>3480</v>
      </c>
      <c r="F55" s="14" t="s">
        <v>329</v>
      </c>
      <c r="G55" s="14" t="s">
        <v>329</v>
      </c>
      <c r="H55" s="14" t="s">
        <v>1145</v>
      </c>
      <c r="I55" s="14" t="s">
        <v>978</v>
      </c>
      <c r="J55" s="15" t="s">
        <v>330</v>
      </c>
      <c r="K55" s="14" t="s">
        <v>331</v>
      </c>
      <c r="L55" s="16" t="s">
        <v>332</v>
      </c>
      <c r="M55" s="14">
        <v>3480</v>
      </c>
      <c r="N55" s="18">
        <v>43595</v>
      </c>
      <c r="O55" s="15" t="s">
        <v>980</v>
      </c>
      <c r="P55" s="19">
        <v>6</v>
      </c>
      <c r="Q55" s="14" t="s">
        <v>1233</v>
      </c>
      <c r="R55" s="19">
        <v>9</v>
      </c>
      <c r="S55" s="14" t="s">
        <v>1234</v>
      </c>
    </row>
    <row r="56" spans="1:19" ht="14.5">
      <c r="A56" s="13" t="s">
        <v>31</v>
      </c>
      <c r="B56" s="13" t="s">
        <v>1235</v>
      </c>
      <c r="C56" s="86" t="s">
        <v>1107</v>
      </c>
      <c r="D56" s="14" t="s">
        <v>182</v>
      </c>
      <c r="E56" s="14">
        <v>3500</v>
      </c>
      <c r="F56" s="14" t="s">
        <v>183</v>
      </c>
      <c r="G56" s="14" t="s">
        <v>1236</v>
      </c>
      <c r="H56" s="14" t="s">
        <v>1145</v>
      </c>
      <c r="I56" s="14" t="s">
        <v>978</v>
      </c>
      <c r="J56" s="15" t="s">
        <v>1237</v>
      </c>
      <c r="K56" s="14" t="s">
        <v>184</v>
      </c>
      <c r="L56" s="16" t="s">
        <v>185</v>
      </c>
      <c r="M56" s="14">
        <v>3500</v>
      </c>
      <c r="N56" s="18">
        <v>43595</v>
      </c>
      <c r="O56" s="15" t="s">
        <v>980</v>
      </c>
      <c r="P56" s="19">
        <v>13</v>
      </c>
      <c r="Q56" s="14">
        <v>3500</v>
      </c>
      <c r="R56" s="19">
        <v>15</v>
      </c>
      <c r="S56" s="14" t="s">
        <v>1238</v>
      </c>
    </row>
    <row r="57" spans="1:19" ht="14.5">
      <c r="A57" s="13" t="s">
        <v>31</v>
      </c>
      <c r="B57" s="13" t="s">
        <v>1239</v>
      </c>
      <c r="C57" s="86" t="s">
        <v>1240</v>
      </c>
      <c r="D57" s="14" t="s">
        <v>1241</v>
      </c>
      <c r="E57" s="14">
        <v>3520</v>
      </c>
      <c r="F57" s="14" t="s">
        <v>1242</v>
      </c>
      <c r="G57" s="14" t="s">
        <v>1236</v>
      </c>
      <c r="H57" s="14" t="s">
        <v>1145</v>
      </c>
      <c r="I57" s="14" t="s">
        <v>978</v>
      </c>
      <c r="J57" s="15" t="s">
        <v>1243</v>
      </c>
      <c r="K57" s="14" t="s">
        <v>1244</v>
      </c>
      <c r="L57" s="16" t="s">
        <v>1245</v>
      </c>
      <c r="M57" s="14">
        <v>3520</v>
      </c>
      <c r="N57" s="17">
        <v>43789</v>
      </c>
      <c r="O57" s="18">
        <v>44104</v>
      </c>
      <c r="P57" s="19">
        <v>14</v>
      </c>
      <c r="Q57" s="14">
        <v>3520</v>
      </c>
      <c r="R57" s="19">
        <v>12</v>
      </c>
      <c r="S57" s="14">
        <v>3520</v>
      </c>
    </row>
    <row r="58" spans="1:19" ht="14.5">
      <c r="A58" s="13" t="s">
        <v>31</v>
      </c>
      <c r="B58" s="13" t="s">
        <v>1246</v>
      </c>
      <c r="C58" s="86" t="s">
        <v>1247</v>
      </c>
      <c r="D58" s="14" t="s">
        <v>1248</v>
      </c>
      <c r="E58" s="14">
        <v>3520</v>
      </c>
      <c r="F58" s="14" t="s">
        <v>1242</v>
      </c>
      <c r="G58" s="14" t="s">
        <v>1236</v>
      </c>
      <c r="H58" s="14" t="s">
        <v>1145</v>
      </c>
      <c r="I58" s="14" t="s">
        <v>978</v>
      </c>
      <c r="J58" s="15" t="s">
        <v>1249</v>
      </c>
      <c r="K58" s="14" t="s">
        <v>1250</v>
      </c>
      <c r="L58" s="16" t="s">
        <v>843</v>
      </c>
      <c r="M58" s="14">
        <v>3520</v>
      </c>
      <c r="N58" s="18">
        <v>44104</v>
      </c>
      <c r="O58" s="15" t="s">
        <v>980</v>
      </c>
      <c r="P58" s="19">
        <v>19</v>
      </c>
      <c r="Q58" s="14" t="s">
        <v>1251</v>
      </c>
      <c r="R58" s="19">
        <v>18</v>
      </c>
      <c r="S58" s="14">
        <v>3520</v>
      </c>
    </row>
    <row r="59" spans="1:19" ht="14.5">
      <c r="A59" s="13" t="s">
        <v>31</v>
      </c>
      <c r="B59" s="13" t="s">
        <v>1252</v>
      </c>
      <c r="C59" s="86" t="s">
        <v>1253</v>
      </c>
      <c r="D59" s="14" t="s">
        <v>469</v>
      </c>
      <c r="E59" s="14">
        <v>3600</v>
      </c>
      <c r="F59" s="14" t="s">
        <v>470</v>
      </c>
      <c r="G59" s="14" t="s">
        <v>470</v>
      </c>
      <c r="H59" s="14" t="s">
        <v>1145</v>
      </c>
      <c r="I59" s="14" t="s">
        <v>978</v>
      </c>
      <c r="J59" s="15" t="s">
        <v>471</v>
      </c>
      <c r="K59" s="14" t="s">
        <v>472</v>
      </c>
      <c r="L59" s="16" t="s">
        <v>473</v>
      </c>
      <c r="M59" s="14" t="s">
        <v>1254</v>
      </c>
      <c r="N59" s="18">
        <v>43595</v>
      </c>
      <c r="O59" s="15" t="s">
        <v>980</v>
      </c>
      <c r="P59" s="19">
        <v>27</v>
      </c>
      <c r="Q59" s="14" t="s">
        <v>1255</v>
      </c>
      <c r="R59" s="19">
        <v>56</v>
      </c>
      <c r="S59" s="14" t="s">
        <v>1256</v>
      </c>
    </row>
    <row r="60" spans="1:19" ht="14.5">
      <c r="A60" s="13" t="s">
        <v>31</v>
      </c>
      <c r="B60" s="13" t="s">
        <v>1257</v>
      </c>
      <c r="C60" s="86" t="s">
        <v>1258</v>
      </c>
      <c r="D60" s="14" t="s">
        <v>153</v>
      </c>
      <c r="E60" s="14">
        <v>3660</v>
      </c>
      <c r="F60" s="14" t="s">
        <v>154</v>
      </c>
      <c r="G60" s="14" t="s">
        <v>1259</v>
      </c>
      <c r="H60" s="14" t="s">
        <v>1145</v>
      </c>
      <c r="I60" s="14" t="s">
        <v>978</v>
      </c>
      <c r="J60" s="15" t="s">
        <v>1260</v>
      </c>
      <c r="K60" s="14" t="s">
        <v>155</v>
      </c>
      <c r="L60" s="16" t="s">
        <v>156</v>
      </c>
      <c r="M60" s="14" t="s">
        <v>1261</v>
      </c>
      <c r="N60" s="18">
        <v>43595</v>
      </c>
      <c r="O60" s="15" t="s">
        <v>980</v>
      </c>
      <c r="P60" s="19">
        <v>20</v>
      </c>
      <c r="Q60" s="14" t="s">
        <v>1262</v>
      </c>
      <c r="R60" s="19">
        <v>24</v>
      </c>
      <c r="S60" s="14" t="s">
        <v>1263</v>
      </c>
    </row>
    <row r="61" spans="1:19" ht="14.5">
      <c r="A61" s="13" t="s">
        <v>31</v>
      </c>
      <c r="B61" s="13" t="s">
        <v>1264</v>
      </c>
      <c r="C61" s="13" t="s">
        <v>868</v>
      </c>
      <c r="D61" s="14" t="s">
        <v>1265</v>
      </c>
      <c r="E61" s="14">
        <v>3700</v>
      </c>
      <c r="F61" s="14" t="s">
        <v>442</v>
      </c>
      <c r="G61" s="14" t="s">
        <v>864</v>
      </c>
      <c r="H61" s="14" t="s">
        <v>864</v>
      </c>
      <c r="I61" s="14" t="s">
        <v>978</v>
      </c>
      <c r="J61" s="15" t="s">
        <v>443</v>
      </c>
      <c r="K61" s="14" t="s">
        <v>441</v>
      </c>
      <c r="L61" s="16" t="s">
        <v>444</v>
      </c>
      <c r="M61" s="14" t="s">
        <v>1266</v>
      </c>
      <c r="N61" s="17">
        <v>44180</v>
      </c>
      <c r="O61" s="15" t="s">
        <v>980</v>
      </c>
      <c r="P61" s="19">
        <v>28</v>
      </c>
      <c r="Q61" s="14" t="s">
        <v>1267</v>
      </c>
      <c r="R61" s="19">
        <v>66</v>
      </c>
      <c r="S61" s="14" t="s">
        <v>1267</v>
      </c>
    </row>
    <row r="62" spans="1:19" ht="14.5">
      <c r="A62" s="13" t="s">
        <v>31</v>
      </c>
      <c r="B62" s="13" t="s">
        <v>1264</v>
      </c>
      <c r="C62" s="13" t="s">
        <v>868</v>
      </c>
      <c r="D62" s="14" t="s">
        <v>1268</v>
      </c>
      <c r="E62" s="14">
        <v>3730</v>
      </c>
      <c r="F62" s="14" t="s">
        <v>1269</v>
      </c>
      <c r="G62" s="14" t="s">
        <v>864</v>
      </c>
      <c r="H62" s="14" t="s">
        <v>864</v>
      </c>
      <c r="I62" s="14" t="s">
        <v>978</v>
      </c>
      <c r="J62" s="15" t="s">
        <v>446</v>
      </c>
      <c r="K62" s="14" t="s">
        <v>447</v>
      </c>
      <c r="L62" s="16" t="s">
        <v>448</v>
      </c>
      <c r="M62" s="14" t="s">
        <v>1266</v>
      </c>
      <c r="N62" s="17">
        <v>44180</v>
      </c>
      <c r="O62" s="15" t="s">
        <v>980</v>
      </c>
      <c r="P62" s="19">
        <v>29</v>
      </c>
      <c r="Q62" s="14" t="s">
        <v>1267</v>
      </c>
      <c r="R62" s="19">
        <v>58</v>
      </c>
      <c r="S62" s="14" t="s">
        <v>1267</v>
      </c>
    </row>
    <row r="63" spans="1:19" ht="14.5">
      <c r="A63" s="13" t="s">
        <v>31</v>
      </c>
      <c r="B63" s="13" t="s">
        <v>1270</v>
      </c>
      <c r="C63" s="86" t="s">
        <v>1271</v>
      </c>
      <c r="D63" s="14" t="s">
        <v>1272</v>
      </c>
      <c r="E63" s="14">
        <v>4000</v>
      </c>
      <c r="F63" s="14" t="s">
        <v>243</v>
      </c>
      <c r="G63" s="14" t="s">
        <v>243</v>
      </c>
      <c r="H63" s="14" t="s">
        <v>1090</v>
      </c>
      <c r="I63" s="14" t="s">
        <v>485</v>
      </c>
      <c r="J63" s="15">
        <v>46332020</v>
      </c>
      <c r="K63" s="14" t="s">
        <v>1273</v>
      </c>
      <c r="L63" s="16" t="s">
        <v>1274</v>
      </c>
      <c r="M63" s="14" t="s">
        <v>1275</v>
      </c>
      <c r="N63" s="18">
        <v>43595</v>
      </c>
      <c r="O63" s="15" t="s">
        <v>980</v>
      </c>
      <c r="P63" s="19">
        <v>18</v>
      </c>
      <c r="Q63" s="14">
        <v>4000</v>
      </c>
      <c r="R63" s="19">
        <v>38</v>
      </c>
      <c r="S63" s="14" t="s">
        <v>1276</v>
      </c>
    </row>
    <row r="64" spans="1:19" ht="14.5">
      <c r="A64" s="13" t="s">
        <v>31</v>
      </c>
      <c r="B64" s="13" t="s">
        <v>1270</v>
      </c>
      <c r="C64" s="86" t="s">
        <v>1271</v>
      </c>
      <c r="D64" s="14" t="s">
        <v>1272</v>
      </c>
      <c r="E64" s="14">
        <v>4000</v>
      </c>
      <c r="F64" s="14" t="s">
        <v>243</v>
      </c>
      <c r="G64" s="14" t="s">
        <v>243</v>
      </c>
      <c r="H64" s="14" t="s">
        <v>1090</v>
      </c>
      <c r="I64" s="14" t="s">
        <v>485</v>
      </c>
      <c r="J64" s="15" t="s">
        <v>1277</v>
      </c>
      <c r="K64" s="14" t="s">
        <v>1273</v>
      </c>
      <c r="L64" s="16" t="s">
        <v>565</v>
      </c>
      <c r="M64" s="14" t="s">
        <v>1275</v>
      </c>
      <c r="N64" s="18">
        <v>43595</v>
      </c>
      <c r="O64" s="15" t="s">
        <v>980</v>
      </c>
      <c r="P64" s="19" t="s">
        <v>980</v>
      </c>
      <c r="Q64" s="14">
        <v>4000</v>
      </c>
      <c r="R64" s="19" t="s">
        <v>980</v>
      </c>
      <c r="S64" s="14" t="s">
        <v>1276</v>
      </c>
    </row>
    <row r="65" spans="1:19" ht="14.5">
      <c r="A65" s="13" t="s">
        <v>31</v>
      </c>
      <c r="B65" s="13" t="s">
        <v>1278</v>
      </c>
      <c r="C65" s="86" t="s">
        <v>1271</v>
      </c>
      <c r="D65" s="14" t="s">
        <v>1279</v>
      </c>
      <c r="E65" s="14">
        <v>4000</v>
      </c>
      <c r="F65" s="14" t="s">
        <v>243</v>
      </c>
      <c r="G65" s="14" t="s">
        <v>243</v>
      </c>
      <c r="H65" s="14" t="s">
        <v>1090</v>
      </c>
      <c r="I65" s="14" t="s">
        <v>485</v>
      </c>
      <c r="J65" s="15">
        <v>46332020</v>
      </c>
      <c r="K65" s="14" t="s">
        <v>1280</v>
      </c>
      <c r="L65" s="16" t="s">
        <v>1281</v>
      </c>
      <c r="M65" s="14" t="s">
        <v>1275</v>
      </c>
      <c r="N65" s="18">
        <v>43595</v>
      </c>
      <c r="O65" s="15" t="s">
        <v>980</v>
      </c>
      <c r="P65" s="19">
        <v>21</v>
      </c>
      <c r="Q65" s="14" t="s">
        <v>1282</v>
      </c>
      <c r="R65" s="19">
        <v>18</v>
      </c>
      <c r="S65" s="14" t="s">
        <v>1283</v>
      </c>
    </row>
    <row r="66" spans="1:19" ht="14.5">
      <c r="A66" s="13" t="s">
        <v>31</v>
      </c>
      <c r="B66" s="13" t="s">
        <v>1284</v>
      </c>
      <c r="C66" s="86" t="s">
        <v>1285</v>
      </c>
      <c r="D66" s="14" t="s">
        <v>1286</v>
      </c>
      <c r="E66" s="14">
        <v>4030</v>
      </c>
      <c r="F66" s="14" t="s">
        <v>246</v>
      </c>
      <c r="G66" s="14" t="s">
        <v>1089</v>
      </c>
      <c r="H66" s="14" t="s">
        <v>1090</v>
      </c>
      <c r="I66" s="14" t="s">
        <v>485</v>
      </c>
      <c r="J66" s="15" t="s">
        <v>247</v>
      </c>
      <c r="K66" s="14" t="s">
        <v>248</v>
      </c>
      <c r="L66" s="16" t="s">
        <v>249</v>
      </c>
      <c r="M66" s="14" t="s">
        <v>1287</v>
      </c>
      <c r="N66" s="18">
        <v>43595</v>
      </c>
      <c r="O66" s="15" t="s">
        <v>980</v>
      </c>
      <c r="P66" s="19">
        <v>61</v>
      </c>
      <c r="Q66" s="14" t="s">
        <v>1288</v>
      </c>
      <c r="R66" s="19">
        <v>23</v>
      </c>
      <c r="S66" s="14" t="s">
        <v>1289</v>
      </c>
    </row>
    <row r="67" spans="1:19" ht="14.5">
      <c r="A67" s="13"/>
      <c r="B67" s="13"/>
      <c r="C67" s="13"/>
      <c r="D67" s="14"/>
      <c r="E67" s="14"/>
      <c r="F67" s="14"/>
      <c r="G67" s="14"/>
      <c r="H67" s="14"/>
      <c r="I67" s="14"/>
      <c r="J67" s="15"/>
      <c r="K67" s="14"/>
      <c r="L67" s="13"/>
      <c r="M67" s="14"/>
      <c r="N67" s="18"/>
      <c r="O67" s="15"/>
      <c r="P67" s="19"/>
      <c r="Q67" s="14"/>
      <c r="R67" s="19"/>
      <c r="S67" s="14"/>
    </row>
    <row r="68" spans="1:19" ht="14.5">
      <c r="A68" s="13" t="s">
        <v>31</v>
      </c>
      <c r="B68" s="13" t="s">
        <v>1290</v>
      </c>
      <c r="C68" s="86" t="s">
        <v>1059</v>
      </c>
      <c r="D68" s="14" t="s">
        <v>158</v>
      </c>
      <c r="E68" s="14">
        <v>4100</v>
      </c>
      <c r="F68" s="14" t="s">
        <v>159</v>
      </c>
      <c r="G68" s="14" t="s">
        <v>159</v>
      </c>
      <c r="H68" s="14" t="s">
        <v>1291</v>
      </c>
      <c r="I68" s="14" t="s">
        <v>485</v>
      </c>
      <c r="J68" s="15">
        <v>57660610</v>
      </c>
      <c r="K68" s="14" t="s">
        <v>160</v>
      </c>
      <c r="L68" s="16" t="s">
        <v>161</v>
      </c>
      <c r="M68" s="14" t="s">
        <v>1292</v>
      </c>
      <c r="N68" s="18">
        <v>43595</v>
      </c>
      <c r="O68" s="15" t="s">
        <v>980</v>
      </c>
      <c r="P68" s="19">
        <v>17</v>
      </c>
      <c r="Q68" s="14" t="s">
        <v>1293</v>
      </c>
      <c r="R68" s="19">
        <v>18</v>
      </c>
      <c r="S68" s="14" t="s">
        <v>1294</v>
      </c>
    </row>
    <row r="69" spans="1:19" ht="14.5">
      <c r="A69" s="13" t="s">
        <v>31</v>
      </c>
      <c r="B69" s="13" t="s">
        <v>1295</v>
      </c>
      <c r="C69" s="86" t="s">
        <v>1296</v>
      </c>
      <c r="D69" s="14" t="s">
        <v>283</v>
      </c>
      <c r="E69" s="14">
        <v>4130</v>
      </c>
      <c r="F69" s="14" t="s">
        <v>284</v>
      </c>
      <c r="G69" s="14" t="s">
        <v>243</v>
      </c>
      <c r="H69" s="14" t="s">
        <v>1090</v>
      </c>
      <c r="I69" s="14" t="s">
        <v>485</v>
      </c>
      <c r="J69" s="15" t="s">
        <v>285</v>
      </c>
      <c r="K69" s="14" t="s">
        <v>286</v>
      </c>
      <c r="L69" s="16" t="s">
        <v>287</v>
      </c>
      <c r="M69" s="14">
        <v>4130</v>
      </c>
      <c r="N69" s="18">
        <v>43595</v>
      </c>
      <c r="O69" s="15" t="s">
        <v>980</v>
      </c>
      <c r="P69" s="19">
        <v>8</v>
      </c>
      <c r="Q69" s="14" t="s">
        <v>1297</v>
      </c>
      <c r="R69" s="19">
        <v>9</v>
      </c>
      <c r="S69" s="14" t="s">
        <v>1297</v>
      </c>
    </row>
    <row r="70" spans="1:19" ht="14.5">
      <c r="A70" s="13" t="s">
        <v>31</v>
      </c>
      <c r="B70" s="13" t="s">
        <v>1298</v>
      </c>
      <c r="C70" s="86" t="s">
        <v>1296</v>
      </c>
      <c r="D70" s="14" t="s">
        <v>288</v>
      </c>
      <c r="E70" s="14">
        <v>4140</v>
      </c>
      <c r="F70" s="14" t="s">
        <v>289</v>
      </c>
      <c r="G70" s="14" t="s">
        <v>271</v>
      </c>
      <c r="H70" s="14" t="s">
        <v>1090</v>
      </c>
      <c r="I70" s="14" t="s">
        <v>485</v>
      </c>
      <c r="J70" s="15" t="s">
        <v>290</v>
      </c>
      <c r="K70" s="14" t="s">
        <v>291</v>
      </c>
      <c r="L70" s="16" t="s">
        <v>292</v>
      </c>
      <c r="M70" s="14" t="s">
        <v>1299</v>
      </c>
      <c r="N70" s="18">
        <v>43595</v>
      </c>
      <c r="O70" s="15" t="s">
        <v>980</v>
      </c>
      <c r="P70" s="19">
        <v>15</v>
      </c>
      <c r="Q70" s="14" t="s">
        <v>1300</v>
      </c>
      <c r="R70" s="19">
        <v>18</v>
      </c>
      <c r="S70" s="14" t="s">
        <v>1301</v>
      </c>
    </row>
    <row r="71" spans="1:19" ht="14.5">
      <c r="A71" s="13" t="s">
        <v>31</v>
      </c>
      <c r="B71" s="13" t="s">
        <v>1302</v>
      </c>
      <c r="C71" s="86" t="s">
        <v>1059</v>
      </c>
      <c r="D71" s="14" t="s">
        <v>168</v>
      </c>
      <c r="E71" s="14">
        <v>4180</v>
      </c>
      <c r="F71" s="14" t="s">
        <v>169</v>
      </c>
      <c r="G71" s="14" t="s">
        <v>169</v>
      </c>
      <c r="H71" s="14" t="s">
        <v>1291</v>
      </c>
      <c r="I71" s="14" t="s">
        <v>485</v>
      </c>
      <c r="J71" s="15">
        <v>58242500</v>
      </c>
      <c r="K71" s="14" t="s">
        <v>170</v>
      </c>
      <c r="L71" s="16" t="s">
        <v>171</v>
      </c>
      <c r="M71" s="14" t="s">
        <v>1303</v>
      </c>
      <c r="N71" s="18">
        <v>43595</v>
      </c>
      <c r="O71" s="15" t="s">
        <v>980</v>
      </c>
      <c r="P71" s="19">
        <v>21</v>
      </c>
      <c r="Q71" s="14" t="s">
        <v>1304</v>
      </c>
      <c r="R71" s="19">
        <v>19</v>
      </c>
      <c r="S71" s="14" t="s">
        <v>1305</v>
      </c>
    </row>
    <row r="72" spans="1:19" ht="14.5">
      <c r="A72" s="13" t="s">
        <v>31</v>
      </c>
      <c r="B72" s="13" t="s">
        <v>1306</v>
      </c>
      <c r="C72" s="86" t="s">
        <v>1307</v>
      </c>
      <c r="D72" s="14" t="s">
        <v>1308</v>
      </c>
      <c r="E72" s="14">
        <v>4200</v>
      </c>
      <c r="F72" s="14" t="s">
        <v>412</v>
      </c>
      <c r="G72" s="14" t="s">
        <v>412</v>
      </c>
      <c r="H72" s="14" t="s">
        <v>1291</v>
      </c>
      <c r="I72" s="14" t="s">
        <v>485</v>
      </c>
      <c r="J72" s="15" t="s">
        <v>413</v>
      </c>
      <c r="K72" s="14" t="s">
        <v>414</v>
      </c>
      <c r="L72" s="16" t="s">
        <v>415</v>
      </c>
      <c r="M72" s="14" t="s">
        <v>1309</v>
      </c>
      <c r="N72" s="18">
        <v>44355</v>
      </c>
      <c r="O72" s="15" t="s">
        <v>980</v>
      </c>
      <c r="P72" s="19">
        <v>110</v>
      </c>
      <c r="Q72" s="14" t="s">
        <v>1310</v>
      </c>
      <c r="R72" s="19">
        <v>67</v>
      </c>
      <c r="S72" s="14" t="s">
        <v>1311</v>
      </c>
    </row>
    <row r="73" spans="1:19" ht="14.5">
      <c r="A73" s="13"/>
      <c r="B73" s="13"/>
      <c r="C73" s="24"/>
      <c r="D73" s="14"/>
      <c r="E73" s="14"/>
      <c r="F73" s="14"/>
      <c r="G73" s="14"/>
      <c r="H73" s="14"/>
      <c r="I73" s="14"/>
      <c r="J73" s="15"/>
      <c r="K73" s="14"/>
      <c r="L73" s="13"/>
      <c r="M73" s="14"/>
      <c r="N73" s="17"/>
      <c r="O73" s="15"/>
      <c r="P73" s="19"/>
      <c r="Q73" s="14"/>
      <c r="R73" s="19"/>
      <c r="S73" s="14"/>
    </row>
    <row r="74" spans="1:19" ht="14.5">
      <c r="A74" s="13" t="s">
        <v>31</v>
      </c>
      <c r="B74" s="13" t="s">
        <v>416</v>
      </c>
      <c r="C74" s="86" t="s">
        <v>1307</v>
      </c>
      <c r="D74" s="14" t="s">
        <v>417</v>
      </c>
      <c r="E74" s="14">
        <v>4230</v>
      </c>
      <c r="F74" s="14" t="s">
        <v>418</v>
      </c>
      <c r="G74" s="14" t="s">
        <v>412</v>
      </c>
      <c r="H74" s="14" t="s">
        <v>1291</v>
      </c>
      <c r="I74" s="14" t="s">
        <v>485</v>
      </c>
      <c r="J74" s="15" t="s">
        <v>419</v>
      </c>
      <c r="K74" s="14" t="s">
        <v>420</v>
      </c>
      <c r="L74" s="16" t="s">
        <v>421</v>
      </c>
      <c r="M74" s="14" t="s">
        <v>1309</v>
      </c>
      <c r="N74" s="18">
        <v>44355</v>
      </c>
      <c r="O74" s="15" t="s">
        <v>980</v>
      </c>
      <c r="P74" s="19">
        <v>31</v>
      </c>
      <c r="Q74" s="14" t="s">
        <v>1312</v>
      </c>
      <c r="R74" s="19">
        <v>26</v>
      </c>
      <c r="S74" s="14" t="s">
        <v>1313</v>
      </c>
    </row>
    <row r="75" spans="1:19" ht="14.5">
      <c r="A75" s="13" t="s">
        <v>31</v>
      </c>
      <c r="B75" s="13" t="s">
        <v>1314</v>
      </c>
      <c r="C75" s="86" t="s">
        <v>1315</v>
      </c>
      <c r="D75" s="14" t="s">
        <v>113</v>
      </c>
      <c r="E75" s="14">
        <v>4300</v>
      </c>
      <c r="F75" s="14" t="s">
        <v>114</v>
      </c>
      <c r="G75" s="14" t="s">
        <v>114</v>
      </c>
      <c r="H75" s="14" t="s">
        <v>1291</v>
      </c>
      <c r="I75" s="14" t="s">
        <v>485</v>
      </c>
      <c r="J75" s="15" t="s">
        <v>1316</v>
      </c>
      <c r="K75" s="14" t="s">
        <v>115</v>
      </c>
      <c r="L75" s="16" t="s">
        <v>116</v>
      </c>
      <c r="M75" s="14" t="s">
        <v>1317</v>
      </c>
      <c r="N75" s="18">
        <v>43643</v>
      </c>
      <c r="O75" s="15" t="s">
        <v>980</v>
      </c>
      <c r="P75" s="19">
        <v>181</v>
      </c>
      <c r="Q75" s="14" t="s">
        <v>1318</v>
      </c>
      <c r="R75" s="19">
        <v>161</v>
      </c>
      <c r="S75" s="14" t="s">
        <v>1319</v>
      </c>
    </row>
    <row r="76" spans="1:19" ht="14.5">
      <c r="A76" s="13" t="s">
        <v>31</v>
      </c>
      <c r="B76" s="13" t="s">
        <v>1320</v>
      </c>
      <c r="C76" s="86" t="s">
        <v>1321</v>
      </c>
      <c r="D76" s="14" t="s">
        <v>347</v>
      </c>
      <c r="E76" s="14">
        <v>4400</v>
      </c>
      <c r="F76" s="14" t="s">
        <v>348</v>
      </c>
      <c r="G76" s="14" t="s">
        <v>348</v>
      </c>
      <c r="H76" s="14" t="s">
        <v>1291</v>
      </c>
      <c r="I76" s="14" t="s">
        <v>485</v>
      </c>
      <c r="J76" s="15" t="s">
        <v>349</v>
      </c>
      <c r="K76" s="14" t="s">
        <v>350</v>
      </c>
      <c r="L76" s="16" t="s">
        <v>351</v>
      </c>
      <c r="M76" s="14" t="s">
        <v>1322</v>
      </c>
      <c r="N76" s="18">
        <v>43595</v>
      </c>
      <c r="O76" s="15" t="s">
        <v>980</v>
      </c>
      <c r="P76" s="19">
        <v>47</v>
      </c>
      <c r="Q76" s="14" t="s">
        <v>1323</v>
      </c>
      <c r="R76" s="19">
        <v>49</v>
      </c>
      <c r="S76" s="14" t="s">
        <v>1324</v>
      </c>
    </row>
    <row r="77" spans="1:19" ht="14.5">
      <c r="A77" s="13" t="s">
        <v>31</v>
      </c>
      <c r="B77" s="13" t="s">
        <v>1325</v>
      </c>
      <c r="C77" s="86" t="s">
        <v>1326</v>
      </c>
      <c r="D77" s="14" t="s">
        <v>1327</v>
      </c>
      <c r="E77" s="14">
        <v>4500</v>
      </c>
      <c r="F77" s="14" t="s">
        <v>1328</v>
      </c>
      <c r="G77" s="14" t="s">
        <v>1329</v>
      </c>
      <c r="H77" s="14" t="s">
        <v>1291</v>
      </c>
      <c r="I77" s="14" t="s">
        <v>485</v>
      </c>
      <c r="J77" s="15" t="s">
        <v>96</v>
      </c>
      <c r="K77" s="14" t="s">
        <v>97</v>
      </c>
      <c r="L77" s="16" t="s">
        <v>98</v>
      </c>
      <c r="M77" s="14" t="s">
        <v>1330</v>
      </c>
      <c r="N77" s="18">
        <v>43595</v>
      </c>
      <c r="O77" s="15" t="s">
        <v>980</v>
      </c>
      <c r="P77" s="19">
        <v>23</v>
      </c>
      <c r="Q77" s="14" t="s">
        <v>1331</v>
      </c>
      <c r="R77" s="19">
        <v>27</v>
      </c>
      <c r="S77" s="14" t="s">
        <v>1332</v>
      </c>
    </row>
    <row r="78" spans="1:19" ht="14.5">
      <c r="A78" s="13" t="s">
        <v>31</v>
      </c>
      <c r="B78" s="13" t="s">
        <v>1333</v>
      </c>
      <c r="C78" s="86" t="s">
        <v>1334</v>
      </c>
      <c r="D78" s="14" t="s">
        <v>47</v>
      </c>
      <c r="E78" s="14">
        <v>4550</v>
      </c>
      <c r="F78" s="14" t="s">
        <v>48</v>
      </c>
      <c r="G78" s="14" t="s">
        <v>1329</v>
      </c>
      <c r="H78" s="14" t="s">
        <v>1291</v>
      </c>
      <c r="I78" s="14" t="s">
        <v>485</v>
      </c>
      <c r="J78" s="15" t="s">
        <v>49</v>
      </c>
      <c r="K78" s="14" t="s">
        <v>46</v>
      </c>
      <c r="L78" s="16" t="s">
        <v>50</v>
      </c>
      <c r="M78" s="14" t="s">
        <v>1335</v>
      </c>
      <c r="N78" s="18">
        <v>43595</v>
      </c>
      <c r="O78" s="15" t="s">
        <v>980</v>
      </c>
      <c r="P78" s="19">
        <v>26</v>
      </c>
      <c r="Q78" s="14" t="s">
        <v>1336</v>
      </c>
      <c r="R78" s="19">
        <v>23</v>
      </c>
      <c r="S78" s="14" t="s">
        <v>1337</v>
      </c>
    </row>
    <row r="79" spans="1:19" ht="14.5">
      <c r="A79" s="13" t="s">
        <v>31</v>
      </c>
      <c r="B79" s="13" t="s">
        <v>1338</v>
      </c>
      <c r="C79" s="86" t="s">
        <v>1326</v>
      </c>
      <c r="D79" s="14" t="s">
        <v>90</v>
      </c>
      <c r="E79" s="14">
        <v>4573</v>
      </c>
      <c r="F79" s="14" t="s">
        <v>91</v>
      </c>
      <c r="G79" s="14" t="s">
        <v>1329</v>
      </c>
      <c r="H79" s="14" t="s">
        <v>1291</v>
      </c>
      <c r="I79" s="14" t="s">
        <v>485</v>
      </c>
      <c r="J79" s="15" t="s">
        <v>92</v>
      </c>
      <c r="K79" s="14" t="s">
        <v>93</v>
      </c>
      <c r="L79" s="16" t="s">
        <v>94</v>
      </c>
      <c r="M79" s="14" t="s">
        <v>1330</v>
      </c>
      <c r="N79" s="18">
        <v>43595</v>
      </c>
      <c r="O79" s="15" t="s">
        <v>980</v>
      </c>
      <c r="P79" s="19">
        <v>16</v>
      </c>
      <c r="Q79" s="14" t="s">
        <v>1339</v>
      </c>
      <c r="R79" s="19">
        <v>35</v>
      </c>
      <c r="S79" s="14" t="s">
        <v>1340</v>
      </c>
    </row>
    <row r="80" spans="1:19" ht="14.5">
      <c r="A80" s="13" t="s">
        <v>31</v>
      </c>
      <c r="B80" s="13" t="s">
        <v>1341</v>
      </c>
      <c r="C80" s="86" t="s">
        <v>1296</v>
      </c>
      <c r="D80" s="14" t="s">
        <v>270</v>
      </c>
      <c r="E80" s="14">
        <v>4600</v>
      </c>
      <c r="F80" s="14" t="s">
        <v>271</v>
      </c>
      <c r="G80" s="14" t="s">
        <v>271</v>
      </c>
      <c r="H80" s="14" t="s">
        <v>1090</v>
      </c>
      <c r="I80" s="14" t="s">
        <v>485</v>
      </c>
      <c r="J80" s="15" t="s">
        <v>1342</v>
      </c>
      <c r="K80" s="14" t="s">
        <v>272</v>
      </c>
      <c r="L80" s="16" t="s">
        <v>273</v>
      </c>
      <c r="M80" s="14" t="s">
        <v>1343</v>
      </c>
      <c r="N80" s="18">
        <v>43595</v>
      </c>
      <c r="O80" s="15" t="s">
        <v>980</v>
      </c>
      <c r="P80" s="19">
        <v>50</v>
      </c>
      <c r="Q80" s="14" t="s">
        <v>1344</v>
      </c>
      <c r="R80" s="19">
        <v>23</v>
      </c>
      <c r="S80" s="14" t="s">
        <v>1345</v>
      </c>
    </row>
    <row r="81" spans="1:19" ht="14.5">
      <c r="A81" s="13" t="s">
        <v>31</v>
      </c>
      <c r="B81" s="13" t="s">
        <v>1346</v>
      </c>
      <c r="C81" s="86" t="s">
        <v>1296</v>
      </c>
      <c r="D81" s="14" t="s">
        <v>278</v>
      </c>
      <c r="E81" s="14">
        <v>4640</v>
      </c>
      <c r="F81" s="14" t="s">
        <v>279</v>
      </c>
      <c r="G81" s="14" t="s">
        <v>279</v>
      </c>
      <c r="H81" s="14" t="s">
        <v>1291</v>
      </c>
      <c r="I81" s="14" t="s">
        <v>485</v>
      </c>
      <c r="J81" s="15" t="s">
        <v>280</v>
      </c>
      <c r="K81" s="14" t="s">
        <v>281</v>
      </c>
      <c r="L81" s="16" t="s">
        <v>282</v>
      </c>
      <c r="M81" s="14" t="s">
        <v>1347</v>
      </c>
      <c r="N81" s="18">
        <v>43595</v>
      </c>
      <c r="O81" s="15" t="s">
        <v>980</v>
      </c>
      <c r="P81" s="19">
        <v>11</v>
      </c>
      <c r="Q81" s="14" t="s">
        <v>1348</v>
      </c>
      <c r="R81" s="19">
        <v>17</v>
      </c>
      <c r="S81" s="14" t="s">
        <v>1349</v>
      </c>
    </row>
    <row r="82" spans="1:19" ht="14.5">
      <c r="A82" s="13" t="s">
        <v>31</v>
      </c>
      <c r="B82" s="13" t="s">
        <v>1350</v>
      </c>
      <c r="C82" s="86" t="s">
        <v>1296</v>
      </c>
      <c r="D82" s="14" t="s">
        <v>293</v>
      </c>
      <c r="E82" s="14">
        <v>4660</v>
      </c>
      <c r="F82" s="14" t="s">
        <v>294</v>
      </c>
      <c r="G82" s="14" t="s">
        <v>1351</v>
      </c>
      <c r="H82" s="14" t="s">
        <v>1291</v>
      </c>
      <c r="I82" s="14" t="s">
        <v>485</v>
      </c>
      <c r="J82" s="15" t="s">
        <v>295</v>
      </c>
      <c r="K82" s="14" t="s">
        <v>296</v>
      </c>
      <c r="L82" s="16" t="s">
        <v>297</v>
      </c>
      <c r="M82" s="14" t="s">
        <v>1352</v>
      </c>
      <c r="N82" s="18">
        <v>43595</v>
      </c>
      <c r="O82" s="15" t="s">
        <v>980</v>
      </c>
      <c r="P82" s="19">
        <v>16</v>
      </c>
      <c r="Q82" s="14" t="s">
        <v>1353</v>
      </c>
      <c r="R82" s="19">
        <v>12</v>
      </c>
      <c r="S82" s="14" t="s">
        <v>1353</v>
      </c>
    </row>
    <row r="83" spans="1:19" ht="14.5">
      <c r="A83" s="13" t="s">
        <v>31</v>
      </c>
      <c r="B83" s="13" t="s">
        <v>1354</v>
      </c>
      <c r="C83" s="86" t="s">
        <v>1296</v>
      </c>
      <c r="D83" s="14" t="s">
        <v>298</v>
      </c>
      <c r="E83" s="14">
        <v>4690</v>
      </c>
      <c r="F83" s="14" t="s">
        <v>299</v>
      </c>
      <c r="G83" s="14" t="s">
        <v>279</v>
      </c>
      <c r="H83" s="14" t="s">
        <v>1291</v>
      </c>
      <c r="I83" s="14" t="s">
        <v>485</v>
      </c>
      <c r="J83" s="15" t="s">
        <v>300</v>
      </c>
      <c r="K83" s="14" t="s">
        <v>301</v>
      </c>
      <c r="L83" s="16" t="s">
        <v>302</v>
      </c>
      <c r="M83" s="14" t="s">
        <v>1355</v>
      </c>
      <c r="N83" s="18">
        <v>43595</v>
      </c>
      <c r="O83" s="15" t="s">
        <v>980</v>
      </c>
      <c r="P83" s="19">
        <v>33</v>
      </c>
      <c r="Q83" s="14" t="s">
        <v>1356</v>
      </c>
      <c r="R83" s="19">
        <v>37</v>
      </c>
      <c r="S83" s="14" t="s">
        <v>1357</v>
      </c>
    </row>
    <row r="84" spans="1:19" ht="14.5">
      <c r="A84" s="13"/>
      <c r="B84" s="13"/>
      <c r="C84" s="13"/>
      <c r="D84" s="14"/>
      <c r="E84" s="14"/>
      <c r="F84" s="14"/>
      <c r="G84" s="14"/>
      <c r="H84" s="14"/>
      <c r="I84" s="14"/>
      <c r="J84" s="15"/>
      <c r="K84" s="14"/>
      <c r="L84" s="13"/>
      <c r="M84" s="14"/>
      <c r="N84" s="18"/>
      <c r="O84" s="15"/>
      <c r="P84" s="19"/>
      <c r="Q84" s="14"/>
      <c r="R84" s="19"/>
      <c r="S84" s="14"/>
    </row>
    <row r="85" spans="1:19" ht="14.5">
      <c r="A85" s="13" t="s">
        <v>31</v>
      </c>
      <c r="B85" s="13" t="s">
        <v>1358</v>
      </c>
      <c r="C85" s="86" t="s">
        <v>1359</v>
      </c>
      <c r="D85" s="14" t="s">
        <v>1360</v>
      </c>
      <c r="E85" s="14">
        <v>4700</v>
      </c>
      <c r="F85" s="14" t="s">
        <v>1361</v>
      </c>
      <c r="G85" s="14" t="s">
        <v>1361</v>
      </c>
      <c r="H85" s="14" t="s">
        <v>1291</v>
      </c>
      <c r="I85" s="14" t="s">
        <v>485</v>
      </c>
      <c r="J85" s="15" t="s">
        <v>1362</v>
      </c>
      <c r="K85" s="14" t="s">
        <v>1363</v>
      </c>
      <c r="L85" s="16" t="s">
        <v>1364</v>
      </c>
      <c r="M85" s="14" t="s">
        <v>1365</v>
      </c>
      <c r="N85" s="18">
        <v>43595</v>
      </c>
      <c r="O85" s="18">
        <v>43951</v>
      </c>
      <c r="P85" s="19">
        <v>30</v>
      </c>
      <c r="Q85" s="14" t="s">
        <v>1366</v>
      </c>
      <c r="R85" s="19">
        <v>54</v>
      </c>
      <c r="S85" s="14" t="s">
        <v>1367</v>
      </c>
    </row>
    <row r="86" spans="1:19" ht="14.5">
      <c r="A86" s="13" t="s">
        <v>31</v>
      </c>
      <c r="B86" s="13" t="s">
        <v>1368</v>
      </c>
      <c r="C86" s="86" t="s">
        <v>1296</v>
      </c>
      <c r="D86" s="14" t="s">
        <v>274</v>
      </c>
      <c r="E86" s="14">
        <v>4720</v>
      </c>
      <c r="F86" s="14" t="s">
        <v>275</v>
      </c>
      <c r="G86" s="14" t="s">
        <v>377</v>
      </c>
      <c r="H86" s="14" t="s">
        <v>1291</v>
      </c>
      <c r="I86" s="14" t="s">
        <v>485</v>
      </c>
      <c r="J86" s="15">
        <v>55991866</v>
      </c>
      <c r="K86" s="14" t="s">
        <v>276</v>
      </c>
      <c r="L86" s="16" t="s">
        <v>277</v>
      </c>
      <c r="M86" s="14" t="s">
        <v>1369</v>
      </c>
      <c r="N86" s="18">
        <v>43595</v>
      </c>
      <c r="O86" s="15" t="s">
        <v>980</v>
      </c>
      <c r="P86" s="19">
        <v>27</v>
      </c>
      <c r="Q86" s="14" t="s">
        <v>1370</v>
      </c>
      <c r="R86" s="19">
        <v>41</v>
      </c>
      <c r="S86" s="14" t="s">
        <v>1371</v>
      </c>
    </row>
    <row r="87" spans="1:19" ht="14.5">
      <c r="A87" s="13" t="s">
        <v>31</v>
      </c>
      <c r="B87" s="13" t="s">
        <v>1372</v>
      </c>
      <c r="C87" s="86" t="s">
        <v>1373</v>
      </c>
      <c r="D87" s="14" t="s">
        <v>1374</v>
      </c>
      <c r="E87" s="14">
        <v>4760</v>
      </c>
      <c r="F87" s="14" t="s">
        <v>377</v>
      </c>
      <c r="G87" s="14" t="s">
        <v>377</v>
      </c>
      <c r="H87" s="14" t="s">
        <v>1291</v>
      </c>
      <c r="I87" s="14" t="s">
        <v>485</v>
      </c>
      <c r="J87" s="15" t="s">
        <v>378</v>
      </c>
      <c r="K87" s="14" t="s">
        <v>379</v>
      </c>
      <c r="L87" s="16" t="s">
        <v>380</v>
      </c>
      <c r="M87" s="14" t="s">
        <v>1375</v>
      </c>
      <c r="N87" s="18">
        <v>43595</v>
      </c>
      <c r="O87" s="15" t="s">
        <v>980</v>
      </c>
      <c r="P87" s="19">
        <v>35</v>
      </c>
      <c r="Q87" s="14" t="s">
        <v>1376</v>
      </c>
      <c r="R87" s="19">
        <v>53</v>
      </c>
      <c r="S87" s="14" t="s">
        <v>1377</v>
      </c>
    </row>
    <row r="88" spans="1:19" ht="14.5">
      <c r="A88" s="13" t="s">
        <v>31</v>
      </c>
      <c r="B88" s="13" t="s">
        <v>1378</v>
      </c>
      <c r="C88" s="86" t="s">
        <v>1373</v>
      </c>
      <c r="D88" s="14" t="s">
        <v>371</v>
      </c>
      <c r="E88" s="14">
        <v>4780</v>
      </c>
      <c r="F88" s="14" t="s">
        <v>372</v>
      </c>
      <c r="G88" s="14" t="s">
        <v>377</v>
      </c>
      <c r="H88" s="14" t="s">
        <v>1291</v>
      </c>
      <c r="I88" s="14" t="s">
        <v>485</v>
      </c>
      <c r="J88" s="15" t="s">
        <v>373</v>
      </c>
      <c r="K88" s="14" t="s">
        <v>374</v>
      </c>
      <c r="L88" s="16" t="s">
        <v>375</v>
      </c>
      <c r="M88" s="14" t="s">
        <v>1379</v>
      </c>
      <c r="N88" s="18">
        <v>43595</v>
      </c>
      <c r="O88" s="15" t="s">
        <v>980</v>
      </c>
      <c r="P88" s="19">
        <v>31</v>
      </c>
      <c r="Q88" s="14" t="s">
        <v>1380</v>
      </c>
      <c r="R88" s="19">
        <v>17</v>
      </c>
      <c r="S88" s="14" t="s">
        <v>1381</v>
      </c>
    </row>
    <row r="89" spans="1:19" ht="14.5">
      <c r="A89" s="13" t="s">
        <v>31</v>
      </c>
      <c r="B89" s="13" t="s">
        <v>1382</v>
      </c>
      <c r="C89" s="25"/>
      <c r="D89" s="14" t="s">
        <v>1383</v>
      </c>
      <c r="E89" s="14">
        <v>4800</v>
      </c>
      <c r="F89" s="14" t="s">
        <v>1384</v>
      </c>
      <c r="G89" s="14" t="s">
        <v>1385</v>
      </c>
      <c r="H89" s="14" t="s">
        <v>1291</v>
      </c>
      <c r="I89" s="14" t="s">
        <v>485</v>
      </c>
      <c r="J89" s="15" t="s">
        <v>1386</v>
      </c>
      <c r="K89" s="14" t="s">
        <v>1387</v>
      </c>
      <c r="L89" s="16" t="s">
        <v>1388</v>
      </c>
      <c r="M89" s="14" t="s">
        <v>1389</v>
      </c>
      <c r="N89" s="18">
        <v>43595</v>
      </c>
      <c r="O89" s="18">
        <v>43861</v>
      </c>
      <c r="P89" s="19">
        <v>19</v>
      </c>
      <c r="Q89" s="14" t="s">
        <v>1390</v>
      </c>
      <c r="R89" s="19">
        <v>17</v>
      </c>
      <c r="S89" s="14" t="s">
        <v>1391</v>
      </c>
    </row>
    <row r="90" spans="1:19" ht="14.5">
      <c r="A90" s="13"/>
      <c r="B90" s="13"/>
      <c r="C90" s="88"/>
      <c r="D90" s="14"/>
      <c r="E90" s="14"/>
      <c r="F90" s="14"/>
      <c r="G90" s="14"/>
      <c r="H90" s="14"/>
      <c r="I90" s="14"/>
      <c r="J90" s="15"/>
      <c r="K90" s="14"/>
      <c r="L90" s="13"/>
      <c r="M90" s="14"/>
      <c r="N90" s="18"/>
      <c r="O90" s="18"/>
      <c r="P90" s="19"/>
      <c r="Q90" s="14"/>
      <c r="R90" s="19"/>
      <c r="S90" s="14"/>
    </row>
    <row r="91" spans="1:19" ht="14.5">
      <c r="A91" s="13"/>
      <c r="B91" s="13"/>
      <c r="C91" s="88"/>
      <c r="D91" s="14"/>
      <c r="E91" s="14"/>
      <c r="F91" s="14"/>
      <c r="G91" s="14"/>
      <c r="H91" s="14"/>
      <c r="I91" s="14"/>
      <c r="J91" s="15"/>
      <c r="K91" s="14"/>
      <c r="L91" s="13"/>
      <c r="M91" s="14"/>
      <c r="N91" s="18"/>
      <c r="O91" s="18"/>
      <c r="P91" s="19"/>
      <c r="Q91" s="14"/>
      <c r="R91" s="19"/>
      <c r="S91" s="14"/>
    </row>
    <row r="92" spans="1:19" ht="14.5">
      <c r="A92" s="13" t="s">
        <v>31</v>
      </c>
      <c r="B92" s="13" t="s">
        <v>1392</v>
      </c>
      <c r="C92" s="25"/>
      <c r="D92" s="14" t="s">
        <v>1393</v>
      </c>
      <c r="E92" s="14">
        <v>4873</v>
      </c>
      <c r="F92" s="14" t="s">
        <v>1394</v>
      </c>
      <c r="G92" s="14" t="s">
        <v>1385</v>
      </c>
      <c r="H92" s="14" t="s">
        <v>1291</v>
      </c>
      <c r="I92" s="14" t="s">
        <v>485</v>
      </c>
      <c r="J92" s="15" t="s">
        <v>1395</v>
      </c>
      <c r="K92" s="14" t="s">
        <v>1396</v>
      </c>
      <c r="L92" s="16" t="s">
        <v>1397</v>
      </c>
      <c r="M92" s="14" t="s">
        <v>1389</v>
      </c>
      <c r="N92" s="18">
        <v>43595</v>
      </c>
      <c r="O92" s="18">
        <v>43861</v>
      </c>
      <c r="P92" s="19">
        <v>37</v>
      </c>
      <c r="Q92" s="14" t="s">
        <v>1398</v>
      </c>
      <c r="R92" s="19">
        <v>30</v>
      </c>
      <c r="S92" s="14" t="s">
        <v>1398</v>
      </c>
    </row>
    <row r="93" spans="1:19" ht="14.5">
      <c r="A93" s="13"/>
      <c r="B93" s="13"/>
      <c r="C93" s="25"/>
      <c r="D93" s="14"/>
      <c r="E93" s="14"/>
      <c r="F93" s="14"/>
      <c r="G93" s="14"/>
      <c r="H93" s="14"/>
      <c r="I93" s="14"/>
      <c r="J93" s="15"/>
      <c r="K93" s="14"/>
      <c r="L93" s="13"/>
      <c r="M93" s="14"/>
      <c r="N93" s="18"/>
      <c r="O93" s="15"/>
      <c r="P93" s="19"/>
      <c r="Q93" s="14"/>
      <c r="R93" s="19"/>
      <c r="S93" s="14"/>
    </row>
    <row r="94" spans="1:19" ht="14.5">
      <c r="A94" s="13" t="s">
        <v>31</v>
      </c>
      <c r="B94" s="13" t="s">
        <v>1399</v>
      </c>
      <c r="C94" s="25"/>
      <c r="D94" s="14" t="s">
        <v>1400</v>
      </c>
      <c r="E94" s="14">
        <v>4880</v>
      </c>
      <c r="F94" s="14" t="s">
        <v>1401</v>
      </c>
      <c r="G94" s="14" t="s">
        <v>1385</v>
      </c>
      <c r="H94" s="14" t="s">
        <v>1291</v>
      </c>
      <c r="I94" s="14" t="s">
        <v>485</v>
      </c>
      <c r="J94" s="15" t="s">
        <v>1402</v>
      </c>
      <c r="K94" s="14" t="s">
        <v>1403</v>
      </c>
      <c r="L94" s="16" t="s">
        <v>1404</v>
      </c>
      <c r="M94" s="14" t="s">
        <v>1389</v>
      </c>
      <c r="N94" s="18">
        <v>43595</v>
      </c>
      <c r="O94" s="18">
        <v>43861</v>
      </c>
      <c r="P94" s="19">
        <v>13</v>
      </c>
      <c r="Q94" s="14" t="s">
        <v>1405</v>
      </c>
      <c r="R94" s="19">
        <v>12</v>
      </c>
      <c r="S94" s="14" t="s">
        <v>1406</v>
      </c>
    </row>
    <row r="95" spans="1:19" ht="14.5">
      <c r="A95" s="13"/>
      <c r="B95" s="13"/>
      <c r="C95" s="13"/>
      <c r="D95" s="14"/>
      <c r="E95" s="14"/>
      <c r="F95" s="14"/>
      <c r="G95" s="14"/>
      <c r="H95" s="14"/>
      <c r="I95" s="14"/>
      <c r="J95" s="15"/>
      <c r="K95" s="14"/>
      <c r="L95" s="13"/>
      <c r="M95" s="14"/>
      <c r="N95" s="18"/>
      <c r="O95" s="18"/>
      <c r="P95" s="19"/>
      <c r="Q95" s="14"/>
      <c r="R95" s="19"/>
      <c r="S95" s="14"/>
    </row>
    <row r="96" spans="1:19" ht="14.5">
      <c r="A96" s="13" t="s">
        <v>31</v>
      </c>
      <c r="B96" s="13" t="s">
        <v>1407</v>
      </c>
      <c r="C96" s="25"/>
      <c r="D96" s="14" t="s">
        <v>1408</v>
      </c>
      <c r="E96" s="14">
        <v>4930</v>
      </c>
      <c r="F96" s="14" t="s">
        <v>1409</v>
      </c>
      <c r="G96" s="14" t="s">
        <v>1410</v>
      </c>
      <c r="H96" s="14" t="s">
        <v>1291</v>
      </c>
      <c r="I96" s="14" t="s">
        <v>485</v>
      </c>
      <c r="J96" s="15" t="s">
        <v>1411</v>
      </c>
      <c r="K96" s="14" t="s">
        <v>1412</v>
      </c>
      <c r="L96" s="16" t="s">
        <v>1413</v>
      </c>
      <c r="M96" s="14" t="s">
        <v>1389</v>
      </c>
      <c r="N96" s="18">
        <v>43595</v>
      </c>
      <c r="O96" s="18">
        <v>43861</v>
      </c>
      <c r="P96" s="19">
        <v>25</v>
      </c>
      <c r="Q96" s="14" t="s">
        <v>1414</v>
      </c>
      <c r="R96" s="19">
        <v>11</v>
      </c>
      <c r="S96" s="14" t="s">
        <v>1415</v>
      </c>
    </row>
    <row r="97" spans="1:19" ht="14.5">
      <c r="A97" s="13" t="s">
        <v>31</v>
      </c>
      <c r="B97" s="13" t="s">
        <v>1416</v>
      </c>
      <c r="C97" s="25"/>
      <c r="D97" s="14" t="s">
        <v>1417</v>
      </c>
      <c r="E97" s="14">
        <v>4930</v>
      </c>
      <c r="F97" s="14" t="s">
        <v>1409</v>
      </c>
      <c r="G97" s="14" t="s">
        <v>1410</v>
      </c>
      <c r="H97" s="14" t="s">
        <v>1291</v>
      </c>
      <c r="I97" s="14" t="s">
        <v>485</v>
      </c>
      <c r="J97" s="15" t="s">
        <v>1418</v>
      </c>
      <c r="K97" s="14" t="s">
        <v>1419</v>
      </c>
      <c r="L97" s="16" t="s">
        <v>1420</v>
      </c>
      <c r="M97" s="14" t="s">
        <v>1421</v>
      </c>
      <c r="N97" s="18">
        <v>43868</v>
      </c>
      <c r="O97" s="18">
        <v>44104</v>
      </c>
      <c r="P97" s="19">
        <v>78</v>
      </c>
      <c r="Q97" s="14" t="s">
        <v>1422</v>
      </c>
      <c r="R97" s="19">
        <v>47</v>
      </c>
      <c r="S97" s="14" t="s">
        <v>1423</v>
      </c>
    </row>
    <row r="98" spans="1:19" ht="14.5">
      <c r="A98" s="13" t="s">
        <v>31</v>
      </c>
      <c r="B98" s="13" t="s">
        <v>1424</v>
      </c>
      <c r="C98" s="25"/>
      <c r="D98" s="14" t="s">
        <v>1425</v>
      </c>
      <c r="E98" s="14">
        <v>4970</v>
      </c>
      <c r="F98" s="14" t="s">
        <v>1426</v>
      </c>
      <c r="G98" s="14" t="s">
        <v>1410</v>
      </c>
      <c r="H98" s="14" t="s">
        <v>1291</v>
      </c>
      <c r="I98" s="14" t="s">
        <v>485</v>
      </c>
      <c r="J98" s="15">
        <v>54756111</v>
      </c>
      <c r="K98" s="14" t="s">
        <v>1427</v>
      </c>
      <c r="L98" s="16" t="s">
        <v>1428</v>
      </c>
      <c r="M98" s="14" t="s">
        <v>1421</v>
      </c>
      <c r="N98" s="18">
        <v>43868</v>
      </c>
      <c r="O98" s="18">
        <v>44104</v>
      </c>
      <c r="P98" s="19">
        <v>8</v>
      </c>
      <c r="Q98" s="14">
        <v>4970</v>
      </c>
      <c r="R98" s="19">
        <v>16</v>
      </c>
      <c r="S98" s="14">
        <v>4970</v>
      </c>
    </row>
    <row r="99" spans="1:19" ht="14.5">
      <c r="A99" s="13" t="s">
        <v>31</v>
      </c>
      <c r="B99" s="13" t="s">
        <v>1429</v>
      </c>
      <c r="C99" s="13" t="s">
        <v>1430</v>
      </c>
      <c r="D99" s="14" t="s">
        <v>1431</v>
      </c>
      <c r="E99" s="14">
        <v>5000</v>
      </c>
      <c r="F99" s="14" t="s">
        <v>120</v>
      </c>
      <c r="G99" s="14" t="s">
        <v>1432</v>
      </c>
      <c r="H99" s="14" t="s">
        <v>481</v>
      </c>
      <c r="I99" s="14" t="s">
        <v>1433</v>
      </c>
      <c r="J99" s="15" t="s">
        <v>408</v>
      </c>
      <c r="K99" s="14" t="s">
        <v>409</v>
      </c>
      <c r="L99" s="16" t="s">
        <v>410</v>
      </c>
      <c r="M99" s="14" t="s">
        <v>1434</v>
      </c>
      <c r="N99" s="18">
        <v>43650</v>
      </c>
      <c r="O99" s="15" t="s">
        <v>980</v>
      </c>
      <c r="P99" s="19">
        <v>26</v>
      </c>
      <c r="Q99" s="14" t="s">
        <v>1435</v>
      </c>
      <c r="R99" s="19">
        <v>32</v>
      </c>
      <c r="S99" s="14" t="s">
        <v>1436</v>
      </c>
    </row>
    <row r="100" spans="1:19" ht="14.5">
      <c r="A100" s="13" t="s">
        <v>31</v>
      </c>
      <c r="B100" s="13" t="s">
        <v>1437</v>
      </c>
      <c r="C100" s="13" t="s">
        <v>1438</v>
      </c>
      <c r="D100" s="14" t="s">
        <v>119</v>
      </c>
      <c r="E100" s="14">
        <v>5000</v>
      </c>
      <c r="F100" s="14" t="s">
        <v>120</v>
      </c>
      <c r="G100" s="14" t="s">
        <v>1432</v>
      </c>
      <c r="H100" s="14" t="s">
        <v>481</v>
      </c>
      <c r="I100" s="14" t="s">
        <v>1433</v>
      </c>
      <c r="J100" s="15" t="s">
        <v>121</v>
      </c>
      <c r="K100" s="14" t="s">
        <v>122</v>
      </c>
      <c r="L100" s="16" t="s">
        <v>123</v>
      </c>
      <c r="M100" s="14" t="s">
        <v>1439</v>
      </c>
      <c r="N100" s="18">
        <v>43595</v>
      </c>
      <c r="O100" s="15" t="s">
        <v>980</v>
      </c>
      <c r="P100" s="19">
        <v>33</v>
      </c>
      <c r="Q100" s="14" t="s">
        <v>1440</v>
      </c>
      <c r="R100" s="19">
        <v>28</v>
      </c>
      <c r="S100" s="14" t="s">
        <v>1441</v>
      </c>
    </row>
    <row r="101" spans="1:19" ht="14.5">
      <c r="A101" s="13" t="s">
        <v>31</v>
      </c>
      <c r="B101" s="13" t="s">
        <v>1442</v>
      </c>
      <c r="C101" s="13" t="s">
        <v>1443</v>
      </c>
      <c r="D101" s="14" t="s">
        <v>257</v>
      </c>
      <c r="E101" s="14">
        <v>5210</v>
      </c>
      <c r="F101" s="14" t="s">
        <v>258</v>
      </c>
      <c r="G101" s="14" t="s">
        <v>1432</v>
      </c>
      <c r="H101" s="14" t="s">
        <v>481</v>
      </c>
      <c r="I101" s="14" t="s">
        <v>1433</v>
      </c>
      <c r="J101" s="15" t="s">
        <v>259</v>
      </c>
      <c r="K101" s="14" t="s">
        <v>260</v>
      </c>
      <c r="L101" s="16" t="s">
        <v>261</v>
      </c>
      <c r="M101" s="14" t="s">
        <v>1444</v>
      </c>
      <c r="N101" s="18">
        <v>43595</v>
      </c>
      <c r="O101" s="15" t="s">
        <v>980</v>
      </c>
      <c r="P101" s="19">
        <v>20</v>
      </c>
      <c r="Q101" s="14" t="s">
        <v>1445</v>
      </c>
      <c r="R101" s="19">
        <v>16</v>
      </c>
      <c r="S101" s="14" t="s">
        <v>1446</v>
      </c>
    </row>
    <row r="102" spans="1:19" ht="14.5">
      <c r="A102" s="13" t="s">
        <v>31</v>
      </c>
      <c r="B102" s="13" t="s">
        <v>1447</v>
      </c>
      <c r="C102" s="13" t="s">
        <v>1448</v>
      </c>
      <c r="D102" s="14" t="s">
        <v>264</v>
      </c>
      <c r="E102" s="14">
        <v>5250</v>
      </c>
      <c r="F102" s="14" t="s">
        <v>265</v>
      </c>
      <c r="G102" s="14" t="s">
        <v>1432</v>
      </c>
      <c r="H102" s="14" t="s">
        <v>481</v>
      </c>
      <c r="I102" s="14" t="s">
        <v>1433</v>
      </c>
      <c r="J102" s="15" t="s">
        <v>266</v>
      </c>
      <c r="K102" s="14" t="s">
        <v>267</v>
      </c>
      <c r="L102" s="16" t="s">
        <v>268</v>
      </c>
      <c r="M102" s="14" t="s">
        <v>1449</v>
      </c>
      <c r="N102" s="18">
        <v>43595</v>
      </c>
      <c r="O102" s="15" t="s">
        <v>980</v>
      </c>
      <c r="P102" s="19">
        <v>23</v>
      </c>
      <c r="Q102" s="14" t="s">
        <v>1450</v>
      </c>
      <c r="R102" s="19">
        <v>20</v>
      </c>
      <c r="S102" s="14" t="s">
        <v>1451</v>
      </c>
    </row>
    <row r="103" spans="1:19" ht="14.5">
      <c r="A103" s="13" t="s">
        <v>31</v>
      </c>
      <c r="B103" s="13" t="s">
        <v>1452</v>
      </c>
      <c r="C103" s="13" t="s">
        <v>1453</v>
      </c>
      <c r="D103" s="14" t="s">
        <v>34</v>
      </c>
      <c r="E103" s="14">
        <v>5260</v>
      </c>
      <c r="F103" s="14" t="s">
        <v>35</v>
      </c>
      <c r="G103" s="14" t="s">
        <v>1432</v>
      </c>
      <c r="H103" s="14" t="s">
        <v>481</v>
      </c>
      <c r="I103" s="14" t="s">
        <v>1433</v>
      </c>
      <c r="J103" s="15" t="s">
        <v>36</v>
      </c>
      <c r="K103" s="14" t="s">
        <v>37</v>
      </c>
      <c r="L103" s="16" t="s">
        <v>38</v>
      </c>
      <c r="M103" s="14" t="s">
        <v>1454</v>
      </c>
      <c r="N103" s="18">
        <v>43595</v>
      </c>
      <c r="O103" s="15" t="s">
        <v>980</v>
      </c>
      <c r="P103" s="19">
        <v>25</v>
      </c>
      <c r="Q103" s="14" t="s">
        <v>1455</v>
      </c>
      <c r="R103" s="19">
        <v>38</v>
      </c>
      <c r="S103" s="14" t="s">
        <v>1456</v>
      </c>
    </row>
    <row r="104" spans="1:19" ht="14.5">
      <c r="A104" s="13" t="s">
        <v>31</v>
      </c>
      <c r="B104" s="13" t="s">
        <v>1457</v>
      </c>
      <c r="C104" s="25"/>
      <c r="D104" s="14" t="s">
        <v>1458</v>
      </c>
      <c r="E104" s="14">
        <v>5500</v>
      </c>
      <c r="F104" s="14" t="s">
        <v>1459</v>
      </c>
      <c r="G104" s="14" t="s">
        <v>1459</v>
      </c>
      <c r="H104" s="14" t="s">
        <v>481</v>
      </c>
      <c r="I104" s="14" t="s">
        <v>1433</v>
      </c>
      <c r="J104" s="15" t="s">
        <v>1460</v>
      </c>
      <c r="K104" s="14" t="s">
        <v>1461</v>
      </c>
      <c r="L104" s="16" t="s">
        <v>1462</v>
      </c>
      <c r="M104" s="14" t="s">
        <v>1463</v>
      </c>
      <c r="N104" s="17">
        <v>43748</v>
      </c>
      <c r="O104" s="18">
        <v>43951</v>
      </c>
      <c r="P104" s="19">
        <v>43</v>
      </c>
      <c r="Q104" s="14" t="s">
        <v>1464</v>
      </c>
      <c r="R104" s="19">
        <v>29</v>
      </c>
      <c r="S104" s="14" t="s">
        <v>1465</v>
      </c>
    </row>
    <row r="105" spans="1:19" ht="14.5">
      <c r="A105" s="13" t="s">
        <v>31</v>
      </c>
      <c r="B105" s="13" t="s">
        <v>1466</v>
      </c>
      <c r="C105" s="13" t="s">
        <v>1467</v>
      </c>
      <c r="D105" s="14" t="s">
        <v>305</v>
      </c>
      <c r="E105" s="14">
        <v>5600</v>
      </c>
      <c r="F105" s="14" t="s">
        <v>306</v>
      </c>
      <c r="G105" s="14" t="s">
        <v>1468</v>
      </c>
      <c r="H105" s="14" t="s">
        <v>481</v>
      </c>
      <c r="I105" s="14" t="s">
        <v>1433</v>
      </c>
      <c r="J105" s="15">
        <v>62610450</v>
      </c>
      <c r="K105" s="14" t="s">
        <v>307</v>
      </c>
      <c r="L105" s="16" t="s">
        <v>308</v>
      </c>
      <c r="M105" s="14" t="s">
        <v>1469</v>
      </c>
      <c r="N105" s="18">
        <v>43595</v>
      </c>
      <c r="O105" s="15" t="s">
        <v>980</v>
      </c>
      <c r="P105" s="19">
        <v>13</v>
      </c>
      <c r="Q105" s="14" t="s">
        <v>1470</v>
      </c>
      <c r="R105" s="19">
        <v>9</v>
      </c>
      <c r="S105" s="14" t="s">
        <v>1471</v>
      </c>
    </row>
    <row r="106" spans="1:19" ht="14.5">
      <c r="A106" s="13" t="s">
        <v>31</v>
      </c>
      <c r="B106" s="13" t="s">
        <v>1472</v>
      </c>
      <c r="C106" s="25"/>
      <c r="D106" s="14" t="s">
        <v>1473</v>
      </c>
      <c r="E106" s="14">
        <v>5610</v>
      </c>
      <c r="F106" s="14" t="s">
        <v>1474</v>
      </c>
      <c r="G106" s="14" t="s">
        <v>1474</v>
      </c>
      <c r="H106" s="14" t="s">
        <v>481</v>
      </c>
      <c r="I106" s="14" t="s">
        <v>1433</v>
      </c>
      <c r="J106" s="15">
        <v>70157171</v>
      </c>
      <c r="K106" s="14" t="s">
        <v>1475</v>
      </c>
      <c r="L106" s="16" t="s">
        <v>1476</v>
      </c>
      <c r="M106" s="14" t="s">
        <v>1477</v>
      </c>
      <c r="N106" s="18">
        <v>43595</v>
      </c>
      <c r="O106" s="18">
        <v>43951</v>
      </c>
      <c r="P106" s="19">
        <v>67</v>
      </c>
      <c r="Q106" s="14" t="s">
        <v>1478</v>
      </c>
      <c r="R106" s="19">
        <v>32</v>
      </c>
      <c r="S106" s="14" t="s">
        <v>1479</v>
      </c>
    </row>
    <row r="107" spans="1:19" ht="14.5">
      <c r="A107" s="13" t="s">
        <v>31</v>
      </c>
      <c r="B107" s="13" t="s">
        <v>1480</v>
      </c>
      <c r="C107" s="13" t="s">
        <v>1481</v>
      </c>
      <c r="D107" s="14" t="s">
        <v>83</v>
      </c>
      <c r="E107" s="14">
        <v>5700</v>
      </c>
      <c r="F107" s="14" t="s">
        <v>84</v>
      </c>
      <c r="G107" s="14" t="s">
        <v>84</v>
      </c>
      <c r="H107" s="14" t="s">
        <v>481</v>
      </c>
      <c r="I107" s="14" t="s">
        <v>1433</v>
      </c>
      <c r="J107" s="15" t="s">
        <v>85</v>
      </c>
      <c r="K107" s="14" t="s">
        <v>86</v>
      </c>
      <c r="L107" s="16" t="s">
        <v>87</v>
      </c>
      <c r="M107" s="14" t="s">
        <v>1482</v>
      </c>
      <c r="N107" s="18">
        <v>43595</v>
      </c>
      <c r="O107" s="15" t="s">
        <v>980</v>
      </c>
      <c r="P107" s="19">
        <v>50</v>
      </c>
      <c r="Q107" s="14" t="s">
        <v>1483</v>
      </c>
      <c r="R107" s="19">
        <v>36</v>
      </c>
      <c r="S107" s="14" t="s">
        <v>1484</v>
      </c>
    </row>
    <row r="108" spans="1:19" ht="14.5">
      <c r="A108" s="13" t="s">
        <v>31</v>
      </c>
      <c r="B108" s="13" t="s">
        <v>1485</v>
      </c>
      <c r="C108" s="13" t="s">
        <v>1467</v>
      </c>
      <c r="D108" s="14" t="s">
        <v>310</v>
      </c>
      <c r="E108" s="14">
        <v>5750</v>
      </c>
      <c r="F108" s="14" t="s">
        <v>311</v>
      </c>
      <c r="G108" s="14" t="s">
        <v>1468</v>
      </c>
      <c r="H108" s="14" t="s">
        <v>481</v>
      </c>
      <c r="I108" s="14" t="s">
        <v>1433</v>
      </c>
      <c r="J108" s="15" t="s">
        <v>312</v>
      </c>
      <c r="K108" s="14" t="s">
        <v>313</v>
      </c>
      <c r="L108" s="16" t="s">
        <v>314</v>
      </c>
      <c r="M108" s="14" t="s">
        <v>1486</v>
      </c>
      <c r="N108" s="18">
        <v>43741</v>
      </c>
      <c r="O108" s="15" t="s">
        <v>980</v>
      </c>
      <c r="P108" s="19">
        <v>37</v>
      </c>
      <c r="Q108" s="14" t="s">
        <v>1487</v>
      </c>
      <c r="R108" s="19">
        <v>36</v>
      </c>
      <c r="S108" s="14" t="s">
        <v>1488</v>
      </c>
    </row>
    <row r="109" spans="1:19" ht="14.5">
      <c r="A109" s="13"/>
      <c r="B109" s="13"/>
      <c r="C109" s="13"/>
      <c r="D109" s="14"/>
      <c r="E109" s="14"/>
      <c r="F109" s="14"/>
      <c r="G109" s="14"/>
      <c r="H109" s="14"/>
      <c r="I109" s="14"/>
      <c r="J109" s="15"/>
      <c r="K109" s="14"/>
      <c r="L109" s="13"/>
      <c r="M109" s="14"/>
      <c r="N109" s="18"/>
      <c r="O109" s="15"/>
      <c r="P109" s="19"/>
      <c r="Q109" s="14"/>
      <c r="R109" s="19"/>
      <c r="S109" s="14"/>
    </row>
    <row r="110" spans="1:19" ht="14.5">
      <c r="A110" s="13" t="s">
        <v>31</v>
      </c>
      <c r="B110" s="13" t="s">
        <v>1489</v>
      </c>
      <c r="C110" s="13" t="s">
        <v>1490</v>
      </c>
      <c r="D110" s="14" t="s">
        <v>1491</v>
      </c>
      <c r="E110" s="14">
        <v>5900</v>
      </c>
      <c r="F110" s="14" t="s">
        <v>131</v>
      </c>
      <c r="G110" s="14" t="s">
        <v>1492</v>
      </c>
      <c r="H110" s="14" t="s">
        <v>481</v>
      </c>
      <c r="I110" s="14" t="s">
        <v>1433</v>
      </c>
      <c r="J110" s="15">
        <v>62515156</v>
      </c>
      <c r="K110" s="14" t="s">
        <v>132</v>
      </c>
      <c r="L110" s="16" t="s">
        <v>133</v>
      </c>
      <c r="M110" s="14" t="s">
        <v>1493</v>
      </c>
      <c r="N110" s="18">
        <v>43595</v>
      </c>
      <c r="O110" s="15" t="s">
        <v>980</v>
      </c>
      <c r="P110" s="19">
        <v>48</v>
      </c>
      <c r="Q110" s="14" t="s">
        <v>1494</v>
      </c>
      <c r="R110" s="19">
        <v>30</v>
      </c>
      <c r="S110" s="14" t="s">
        <v>1495</v>
      </c>
    </row>
    <row r="111" spans="1:19" ht="14.5">
      <c r="A111" s="13"/>
      <c r="B111" s="13"/>
      <c r="C111" s="88"/>
      <c r="D111" s="14"/>
      <c r="E111" s="14"/>
      <c r="F111" s="14"/>
      <c r="G111" s="14"/>
      <c r="H111" s="14"/>
      <c r="I111" s="14"/>
      <c r="J111" s="15"/>
      <c r="K111" s="14"/>
      <c r="L111" s="13"/>
      <c r="M111" s="14"/>
      <c r="N111" s="18"/>
      <c r="O111" s="18"/>
      <c r="P111" s="19"/>
      <c r="Q111" s="14"/>
      <c r="R111" s="19"/>
      <c r="S111" s="14"/>
    </row>
    <row r="112" spans="1:19" ht="14.5">
      <c r="A112" s="13" t="s">
        <v>31</v>
      </c>
      <c r="B112" s="13" t="s">
        <v>1496</v>
      </c>
      <c r="C112" s="13" t="s">
        <v>1497</v>
      </c>
      <c r="D112" s="14" t="s">
        <v>424</v>
      </c>
      <c r="E112" s="14">
        <v>6100</v>
      </c>
      <c r="F112" s="14" t="s">
        <v>425</v>
      </c>
      <c r="G112" s="14" t="s">
        <v>425</v>
      </c>
      <c r="H112" s="14" t="s">
        <v>1498</v>
      </c>
      <c r="I112" s="14" t="s">
        <v>1433</v>
      </c>
      <c r="J112" s="15" t="s">
        <v>426</v>
      </c>
      <c r="K112" s="14" t="s">
        <v>427</v>
      </c>
      <c r="L112" s="16" t="s">
        <v>428</v>
      </c>
      <c r="M112" s="14">
        <v>6100</v>
      </c>
      <c r="N112" s="18">
        <v>43770</v>
      </c>
      <c r="O112" s="15" t="s">
        <v>980</v>
      </c>
      <c r="P112" s="19">
        <v>69</v>
      </c>
      <c r="Q112" s="14" t="s">
        <v>1499</v>
      </c>
      <c r="R112" s="19">
        <v>36</v>
      </c>
      <c r="S112" s="14" t="s">
        <v>1500</v>
      </c>
    </row>
    <row r="113" spans="1:19" ht="14.5">
      <c r="A113" s="13" t="s">
        <v>31</v>
      </c>
      <c r="B113" s="13" t="s">
        <v>1501</v>
      </c>
      <c r="C113" s="25"/>
      <c r="D113" s="14" t="s">
        <v>1502</v>
      </c>
      <c r="E113" s="14">
        <v>6200</v>
      </c>
      <c r="F113" s="14" t="s">
        <v>1503</v>
      </c>
      <c r="G113" s="14" t="s">
        <v>1503</v>
      </c>
      <c r="H113" s="14" t="s">
        <v>1498</v>
      </c>
      <c r="I113" s="14" t="s">
        <v>1433</v>
      </c>
      <c r="J113" s="15" t="s">
        <v>1504</v>
      </c>
      <c r="K113" s="14" t="s">
        <v>1505</v>
      </c>
      <c r="L113" s="16" t="s">
        <v>1506</v>
      </c>
      <c r="M113" s="14" t="s">
        <v>1507</v>
      </c>
      <c r="N113" s="17">
        <v>43760</v>
      </c>
      <c r="O113" s="18">
        <v>43943</v>
      </c>
      <c r="P113" s="19">
        <v>78</v>
      </c>
      <c r="Q113" s="14" t="s">
        <v>1508</v>
      </c>
      <c r="R113" s="19">
        <v>56</v>
      </c>
      <c r="S113" s="14" t="s">
        <v>1509</v>
      </c>
    </row>
    <row r="114" spans="1:19" ht="14.5">
      <c r="A114" s="13" t="s">
        <v>31</v>
      </c>
      <c r="B114" s="13" t="s">
        <v>1510</v>
      </c>
      <c r="C114" s="25"/>
      <c r="D114" s="14" t="s">
        <v>1511</v>
      </c>
      <c r="E114" s="14">
        <v>6300</v>
      </c>
      <c r="F114" s="14" t="s">
        <v>1512</v>
      </c>
      <c r="G114" s="14" t="s">
        <v>1513</v>
      </c>
      <c r="H114" s="14" t="s">
        <v>1498</v>
      </c>
      <c r="I114" s="14" t="s">
        <v>1433</v>
      </c>
      <c r="J114" s="15">
        <v>73115180</v>
      </c>
      <c r="K114" s="14" t="s">
        <v>1514</v>
      </c>
      <c r="L114" s="16" t="s">
        <v>1515</v>
      </c>
      <c r="M114" s="14" t="s">
        <v>1516</v>
      </c>
      <c r="N114" s="18">
        <v>43839</v>
      </c>
      <c r="O114" s="18">
        <v>43951</v>
      </c>
      <c r="P114" s="19" t="s">
        <v>980</v>
      </c>
      <c r="Q114" s="14" t="s">
        <v>980</v>
      </c>
      <c r="R114" s="19">
        <v>5</v>
      </c>
      <c r="S114" s="14">
        <v>6300</v>
      </c>
    </row>
    <row r="115" spans="1:19" ht="14.5">
      <c r="A115" s="13"/>
      <c r="B115" s="13"/>
      <c r="C115" s="88"/>
      <c r="D115" s="14"/>
      <c r="E115" s="14"/>
      <c r="F115" s="14"/>
      <c r="G115" s="14"/>
      <c r="H115" s="14"/>
      <c r="I115" s="14"/>
      <c r="J115" s="15"/>
      <c r="K115" s="14"/>
      <c r="L115" s="13"/>
      <c r="M115" s="14"/>
      <c r="N115" s="18"/>
      <c r="O115" s="18"/>
      <c r="P115" s="19"/>
      <c r="Q115" s="14"/>
      <c r="R115" s="19"/>
      <c r="S115" s="14"/>
    </row>
    <row r="116" spans="1:19" ht="14.5">
      <c r="A116" s="13" t="s">
        <v>31</v>
      </c>
      <c r="B116" s="13" t="s">
        <v>1517</v>
      </c>
      <c r="C116" s="25"/>
      <c r="D116" s="14" t="s">
        <v>1518</v>
      </c>
      <c r="E116" s="14">
        <v>6400</v>
      </c>
      <c r="F116" s="14" t="s">
        <v>1513</v>
      </c>
      <c r="G116" s="14" t="s">
        <v>1513</v>
      </c>
      <c r="H116" s="14" t="s">
        <v>1498</v>
      </c>
      <c r="I116" s="14" t="s">
        <v>1433</v>
      </c>
      <c r="J116" s="15" t="s">
        <v>1519</v>
      </c>
      <c r="K116" s="14" t="s">
        <v>1520</v>
      </c>
      <c r="L116" s="16" t="s">
        <v>1521</v>
      </c>
      <c r="M116" s="14" t="s">
        <v>1522</v>
      </c>
      <c r="N116" s="18">
        <v>43894</v>
      </c>
      <c r="O116" s="18">
        <v>43951</v>
      </c>
      <c r="P116" s="19">
        <v>22</v>
      </c>
      <c r="Q116" s="14" t="s">
        <v>1523</v>
      </c>
      <c r="R116" s="19">
        <v>33</v>
      </c>
      <c r="S116" s="14" t="s">
        <v>1524</v>
      </c>
    </row>
    <row r="117" spans="1:19" ht="14.5">
      <c r="A117" s="13"/>
      <c r="B117" s="13"/>
      <c r="C117" s="88"/>
      <c r="D117" s="14"/>
      <c r="E117" s="14"/>
      <c r="F117" s="14"/>
      <c r="G117" s="14"/>
      <c r="H117" s="14"/>
      <c r="I117" s="14"/>
      <c r="J117" s="15"/>
      <c r="K117" s="14"/>
      <c r="L117" s="13"/>
      <c r="M117" s="14"/>
      <c r="N117" s="18"/>
      <c r="O117" s="18"/>
      <c r="P117" s="19"/>
      <c r="Q117" s="14"/>
      <c r="R117" s="19"/>
      <c r="S117" s="14"/>
    </row>
    <row r="118" spans="1:19" ht="14.5">
      <c r="A118" s="13"/>
      <c r="B118" s="13"/>
      <c r="C118" s="13"/>
      <c r="D118" s="14"/>
      <c r="E118" s="14"/>
      <c r="F118" s="14"/>
      <c r="G118" s="14"/>
      <c r="H118" s="14"/>
      <c r="I118" s="14"/>
      <c r="J118" s="15"/>
      <c r="K118" s="14"/>
      <c r="L118" s="13"/>
      <c r="M118" s="14"/>
      <c r="N118" s="17"/>
      <c r="O118" s="15"/>
      <c r="P118" s="19"/>
      <c r="Q118" s="14"/>
      <c r="R118" s="19"/>
      <c r="S118" s="14"/>
    </row>
    <row r="119" spans="1:19" ht="14.5">
      <c r="A119" s="13" t="s">
        <v>31</v>
      </c>
      <c r="B119" s="13" t="s">
        <v>1525</v>
      </c>
      <c r="C119" s="23" t="s">
        <v>1526</v>
      </c>
      <c r="D119" s="14" t="s">
        <v>402</v>
      </c>
      <c r="E119" s="14">
        <v>9800</v>
      </c>
      <c r="F119" s="14" t="s">
        <v>403</v>
      </c>
      <c r="G119" s="14" t="s">
        <v>403</v>
      </c>
      <c r="H119" s="14" t="s">
        <v>1527</v>
      </c>
      <c r="I119" s="14" t="s">
        <v>1527</v>
      </c>
      <c r="J119" s="15" t="s">
        <v>404</v>
      </c>
      <c r="K119" s="14" t="s">
        <v>405</v>
      </c>
      <c r="L119" s="16" t="s">
        <v>406</v>
      </c>
      <c r="M119" s="14" t="s">
        <v>1528</v>
      </c>
      <c r="N119" s="18">
        <v>43647</v>
      </c>
      <c r="O119" s="15" t="s">
        <v>980</v>
      </c>
      <c r="P119" s="19">
        <v>91</v>
      </c>
      <c r="Q119" s="14" t="s">
        <v>1529</v>
      </c>
      <c r="R119" s="19">
        <v>37</v>
      </c>
      <c r="S119" s="14" t="s">
        <v>1530</v>
      </c>
    </row>
    <row r="120" spans="1:19" ht="14.5">
      <c r="A120" s="13" t="s">
        <v>31</v>
      </c>
      <c r="B120" s="13" t="s">
        <v>869</v>
      </c>
      <c r="C120" s="23" t="s">
        <v>1531</v>
      </c>
      <c r="D120" s="14" t="s">
        <v>1532</v>
      </c>
      <c r="E120" s="14">
        <v>9500</v>
      </c>
      <c r="F120" s="14" t="s">
        <v>1533</v>
      </c>
      <c r="G120" s="14" t="s">
        <v>1534</v>
      </c>
      <c r="H120" s="14" t="s">
        <v>1527</v>
      </c>
      <c r="I120" s="14" t="s">
        <v>1527</v>
      </c>
      <c r="J120" s="15">
        <v>98522010</v>
      </c>
      <c r="K120" s="14" t="s">
        <v>1535</v>
      </c>
      <c r="L120" s="16" t="s">
        <v>870</v>
      </c>
      <c r="M120" s="14" t="s">
        <v>1536</v>
      </c>
      <c r="N120" s="18">
        <v>44279</v>
      </c>
      <c r="O120" s="15" t="s">
        <v>980</v>
      </c>
      <c r="P120" s="19">
        <v>35</v>
      </c>
      <c r="Q120" s="14" t="s">
        <v>1537</v>
      </c>
      <c r="R120" s="19">
        <v>23</v>
      </c>
      <c r="S120" s="14" t="s">
        <v>1536</v>
      </c>
    </row>
    <row r="121" spans="1:19" ht="14.5">
      <c r="A121" s="13"/>
      <c r="B121" s="13"/>
      <c r="C121" s="88"/>
      <c r="D121" s="14"/>
      <c r="E121" s="14"/>
      <c r="F121" s="14"/>
      <c r="G121" s="14"/>
      <c r="H121" s="14"/>
      <c r="I121" s="14"/>
      <c r="J121" s="15"/>
      <c r="K121" s="14"/>
      <c r="L121" s="13"/>
      <c r="M121" s="14"/>
      <c r="N121" s="18"/>
      <c r="O121" s="18"/>
      <c r="P121" s="19"/>
      <c r="Q121" s="14"/>
      <c r="R121" s="19"/>
      <c r="S121" s="14"/>
    </row>
    <row r="122" spans="1:19" ht="14.5">
      <c r="A122" s="13" t="s">
        <v>31</v>
      </c>
      <c r="B122" s="13" t="s">
        <v>1538</v>
      </c>
      <c r="C122" s="23" t="s">
        <v>1539</v>
      </c>
      <c r="D122" s="14" t="s">
        <v>1540</v>
      </c>
      <c r="E122" s="14">
        <v>8900</v>
      </c>
      <c r="F122" s="14" t="s">
        <v>77</v>
      </c>
      <c r="G122" s="14" t="s">
        <v>1541</v>
      </c>
      <c r="H122" s="14" t="s">
        <v>1206</v>
      </c>
      <c r="I122" s="14" t="s">
        <v>1207</v>
      </c>
      <c r="J122" s="15" t="s">
        <v>78</v>
      </c>
      <c r="K122" s="14" t="s">
        <v>79</v>
      </c>
      <c r="L122" s="16" t="s">
        <v>80</v>
      </c>
      <c r="M122" s="14" t="s">
        <v>1542</v>
      </c>
      <c r="N122" s="18">
        <v>43598</v>
      </c>
      <c r="O122" s="15" t="s">
        <v>980</v>
      </c>
      <c r="P122" s="19">
        <v>116</v>
      </c>
      <c r="Q122" s="14" t="s">
        <v>1543</v>
      </c>
      <c r="R122" s="19">
        <v>44</v>
      </c>
      <c r="S122" s="14" t="s">
        <v>1544</v>
      </c>
    </row>
    <row r="123" spans="1:19" ht="14.5">
      <c r="A123" s="13"/>
      <c r="B123" s="13"/>
      <c r="C123" s="88"/>
      <c r="D123" s="14"/>
      <c r="E123" s="14"/>
      <c r="F123" s="14"/>
      <c r="G123" s="14"/>
      <c r="H123" s="14"/>
      <c r="I123" s="14"/>
      <c r="J123" s="15"/>
      <c r="K123" s="14"/>
      <c r="L123" s="13"/>
      <c r="M123" s="14"/>
      <c r="N123" s="18"/>
      <c r="O123" s="18"/>
      <c r="P123" s="19"/>
      <c r="Q123" s="14"/>
      <c r="R123" s="19"/>
      <c r="S123" s="14"/>
    </row>
    <row r="124" spans="1:19" ht="14.5">
      <c r="A124" s="13"/>
      <c r="B124" s="13"/>
      <c r="C124" s="88"/>
      <c r="D124" s="14"/>
      <c r="E124" s="14"/>
      <c r="F124" s="14"/>
      <c r="G124" s="14"/>
      <c r="H124" s="14"/>
      <c r="I124" s="14"/>
      <c r="J124" s="15"/>
      <c r="K124" s="14"/>
      <c r="L124" s="13"/>
      <c r="M124" s="14"/>
      <c r="N124" s="18"/>
      <c r="O124" s="18"/>
      <c r="P124" s="19"/>
      <c r="Q124" s="14"/>
      <c r="R124" s="19"/>
      <c r="S124" s="14"/>
    </row>
    <row r="125" spans="1:19" ht="14.5">
      <c r="A125" s="13" t="s">
        <v>31</v>
      </c>
      <c r="B125" s="13" t="s">
        <v>1545</v>
      </c>
      <c r="C125" s="23" t="s">
        <v>1546</v>
      </c>
      <c r="D125" s="14" t="s">
        <v>1547</v>
      </c>
      <c r="E125" s="14">
        <v>7100</v>
      </c>
      <c r="F125" s="14" t="s">
        <v>1548</v>
      </c>
      <c r="G125" s="14" t="s">
        <v>1548</v>
      </c>
      <c r="H125" s="14" t="s">
        <v>1498</v>
      </c>
      <c r="I125" s="14" t="s">
        <v>1433</v>
      </c>
      <c r="J125" s="15" t="s">
        <v>1549</v>
      </c>
      <c r="K125" s="14" t="s">
        <v>1550</v>
      </c>
      <c r="L125" s="16" t="s">
        <v>1551</v>
      </c>
      <c r="M125" s="14" t="s">
        <v>1552</v>
      </c>
      <c r="N125" s="18">
        <v>43595</v>
      </c>
      <c r="O125" s="18">
        <v>43643</v>
      </c>
      <c r="P125" s="19">
        <v>79</v>
      </c>
      <c r="Q125" s="14" t="s">
        <v>1553</v>
      </c>
      <c r="R125" s="19">
        <v>68</v>
      </c>
      <c r="S125" s="14" t="s">
        <v>1554</v>
      </c>
    </row>
    <row r="126" spans="1:19" ht="14.5">
      <c r="A126" s="13" t="s">
        <v>31</v>
      </c>
      <c r="B126" s="13" t="s">
        <v>1555</v>
      </c>
      <c r="C126" s="25"/>
      <c r="D126" s="14" t="s">
        <v>1556</v>
      </c>
      <c r="E126" s="14">
        <v>7200</v>
      </c>
      <c r="F126" s="14" t="s">
        <v>1557</v>
      </c>
      <c r="G126" s="14" t="s">
        <v>1558</v>
      </c>
      <c r="H126" s="14" t="s">
        <v>1498</v>
      </c>
      <c r="I126" s="14" t="s">
        <v>1433</v>
      </c>
      <c r="J126" s="15" t="s">
        <v>1559</v>
      </c>
      <c r="K126" s="14" t="s">
        <v>1560</v>
      </c>
      <c r="L126" s="16" t="s">
        <v>1561</v>
      </c>
      <c r="M126" s="14" t="s">
        <v>1562</v>
      </c>
      <c r="N126" s="17">
        <v>43784</v>
      </c>
      <c r="O126" s="18">
        <v>43951</v>
      </c>
      <c r="P126" s="19">
        <v>43</v>
      </c>
      <c r="Q126" s="14" t="s">
        <v>1563</v>
      </c>
      <c r="R126" s="19">
        <v>26</v>
      </c>
      <c r="S126" s="14" t="s">
        <v>1564</v>
      </c>
    </row>
    <row r="127" spans="1:19" ht="14.5">
      <c r="A127" s="13" t="s">
        <v>31</v>
      </c>
      <c r="B127" s="13" t="s">
        <v>1565</v>
      </c>
      <c r="C127" s="24" t="s">
        <v>1566</v>
      </c>
      <c r="D127" s="14" t="s">
        <v>1567</v>
      </c>
      <c r="E127" s="14">
        <v>7500</v>
      </c>
      <c r="F127" s="14" t="s">
        <v>51</v>
      </c>
      <c r="G127" s="14" t="s">
        <v>51</v>
      </c>
      <c r="H127" s="14" t="s">
        <v>1568</v>
      </c>
      <c r="I127" s="14" t="s">
        <v>1207</v>
      </c>
      <c r="J127" s="15" t="s">
        <v>1569</v>
      </c>
      <c r="K127" s="14" t="s">
        <v>52</v>
      </c>
      <c r="L127" s="16" t="s">
        <v>53</v>
      </c>
      <c r="M127" s="14">
        <v>7500</v>
      </c>
      <c r="N127" s="18">
        <v>44440</v>
      </c>
      <c r="O127" s="15" t="s">
        <v>980</v>
      </c>
      <c r="P127" s="19" t="s">
        <v>980</v>
      </c>
      <c r="Q127" s="14" t="s">
        <v>980</v>
      </c>
      <c r="R127" s="19">
        <v>16</v>
      </c>
      <c r="S127" s="14" t="s">
        <v>1570</v>
      </c>
    </row>
    <row r="128" spans="1:19" ht="14.5">
      <c r="A128" s="13" t="s">
        <v>31</v>
      </c>
      <c r="B128" s="13" t="s">
        <v>832</v>
      </c>
      <c r="C128" s="13" t="s">
        <v>1571</v>
      </c>
      <c r="D128" s="14" t="s">
        <v>1572</v>
      </c>
      <c r="E128" s="14">
        <v>8000</v>
      </c>
      <c r="F128" s="14" t="s">
        <v>1573</v>
      </c>
      <c r="G128" s="14" t="s">
        <v>1205</v>
      </c>
      <c r="H128" s="14" t="s">
        <v>1206</v>
      </c>
      <c r="I128" s="14" t="s">
        <v>1207</v>
      </c>
      <c r="J128" s="15" t="s">
        <v>1574</v>
      </c>
      <c r="K128" s="14" t="s">
        <v>1575</v>
      </c>
      <c r="L128" s="16" t="s">
        <v>833</v>
      </c>
      <c r="M128" s="14" t="s">
        <v>1576</v>
      </c>
      <c r="N128" s="18">
        <v>44053</v>
      </c>
      <c r="O128" s="15" t="s">
        <v>980</v>
      </c>
      <c r="P128" s="19">
        <v>91</v>
      </c>
      <c r="Q128" s="14">
        <v>8000</v>
      </c>
      <c r="R128" s="19">
        <v>101</v>
      </c>
      <c r="S128" s="14">
        <v>8000</v>
      </c>
    </row>
    <row r="129" spans="1:19" ht="14.5">
      <c r="A129" s="13" t="s">
        <v>31</v>
      </c>
      <c r="B129" s="13" t="s">
        <v>1577</v>
      </c>
      <c r="C129" s="88"/>
      <c r="D129" s="14" t="s">
        <v>1578</v>
      </c>
      <c r="E129" s="14">
        <v>8000</v>
      </c>
      <c r="F129" s="14" t="s">
        <v>1573</v>
      </c>
      <c r="G129" s="14" t="s">
        <v>1205</v>
      </c>
      <c r="H129" s="14" t="s">
        <v>1206</v>
      </c>
      <c r="I129" s="14" t="s">
        <v>1207</v>
      </c>
      <c r="J129" s="15" t="s">
        <v>1579</v>
      </c>
      <c r="K129" s="14" t="s">
        <v>1580</v>
      </c>
      <c r="L129" s="16" t="s">
        <v>1581</v>
      </c>
      <c r="M129" s="14" t="s">
        <v>1582</v>
      </c>
      <c r="N129" s="18">
        <v>43735</v>
      </c>
      <c r="O129" s="18">
        <v>43951</v>
      </c>
      <c r="P129" s="19">
        <v>59</v>
      </c>
      <c r="Q129" s="14" t="s">
        <v>1583</v>
      </c>
      <c r="R129" s="19">
        <v>45</v>
      </c>
      <c r="S129" s="14" t="s">
        <v>1584</v>
      </c>
    </row>
    <row r="130" spans="1:19" ht="14.5">
      <c r="A130" s="13" t="s">
        <v>31</v>
      </c>
      <c r="B130" s="13" t="s">
        <v>827</v>
      </c>
      <c r="C130" s="13" t="s">
        <v>1585</v>
      </c>
      <c r="D130" s="14" t="s">
        <v>1586</v>
      </c>
      <c r="E130" s="14">
        <v>8200</v>
      </c>
      <c r="F130" s="14" t="s">
        <v>1587</v>
      </c>
      <c r="G130" s="14" t="s">
        <v>1205</v>
      </c>
      <c r="H130" s="14" t="s">
        <v>1206</v>
      </c>
      <c r="I130" s="14" t="s">
        <v>1207</v>
      </c>
      <c r="J130" s="15" t="s">
        <v>1588</v>
      </c>
      <c r="K130" s="14" t="s">
        <v>1589</v>
      </c>
      <c r="L130" s="16" t="s">
        <v>828</v>
      </c>
      <c r="M130" s="14" t="s">
        <v>1576</v>
      </c>
      <c r="N130" s="18">
        <v>44053</v>
      </c>
      <c r="O130" s="15" t="s">
        <v>980</v>
      </c>
      <c r="P130" s="19">
        <v>29</v>
      </c>
      <c r="Q130" s="14" t="s">
        <v>1590</v>
      </c>
      <c r="R130" s="19">
        <v>27</v>
      </c>
      <c r="S130" s="14">
        <v>8200</v>
      </c>
    </row>
    <row r="131" spans="1:19" ht="14.5">
      <c r="A131" s="13" t="s">
        <v>31</v>
      </c>
      <c r="B131" s="13" t="s">
        <v>1591</v>
      </c>
      <c r="C131" s="25"/>
      <c r="D131" s="14" t="s">
        <v>1592</v>
      </c>
      <c r="E131" s="14">
        <v>8464</v>
      </c>
      <c r="F131" s="14" t="s">
        <v>1593</v>
      </c>
      <c r="G131" s="14" t="s">
        <v>1594</v>
      </c>
      <c r="H131" s="14" t="s">
        <v>1206</v>
      </c>
      <c r="I131" s="14" t="s">
        <v>1207</v>
      </c>
      <c r="J131" s="15" t="s">
        <v>1595</v>
      </c>
      <c r="K131" s="14" t="s">
        <v>1596</v>
      </c>
      <c r="L131" s="16" t="s">
        <v>1597</v>
      </c>
      <c r="M131" s="14" t="s">
        <v>1582</v>
      </c>
      <c r="N131" s="18">
        <v>43735</v>
      </c>
      <c r="O131" s="18">
        <v>43951</v>
      </c>
      <c r="P131" s="19">
        <v>24</v>
      </c>
      <c r="Q131" s="14" t="s">
        <v>1598</v>
      </c>
      <c r="R131" s="19">
        <v>12</v>
      </c>
      <c r="S131" s="14" t="s">
        <v>1599</v>
      </c>
    </row>
    <row r="132" spans="1:19" ht="14.5">
      <c r="A132" s="13" t="s">
        <v>31</v>
      </c>
      <c r="B132" s="13" t="s">
        <v>1600</v>
      </c>
      <c r="C132" s="13" t="s">
        <v>1601</v>
      </c>
      <c r="D132" s="14" t="s">
        <v>1602</v>
      </c>
      <c r="E132" s="14">
        <v>8800</v>
      </c>
      <c r="F132" s="14" t="s">
        <v>1603</v>
      </c>
      <c r="G132" s="14" t="s">
        <v>1603</v>
      </c>
      <c r="H132" s="14" t="s">
        <v>1568</v>
      </c>
      <c r="I132" s="14" t="s">
        <v>1207</v>
      </c>
      <c r="J132" s="15" t="s">
        <v>1604</v>
      </c>
      <c r="K132" s="14" t="s">
        <v>1605</v>
      </c>
      <c r="L132" s="16" t="s">
        <v>1606</v>
      </c>
      <c r="M132" s="14">
        <v>8800</v>
      </c>
      <c r="N132" s="18">
        <v>43595</v>
      </c>
      <c r="O132" s="15" t="s">
        <v>980</v>
      </c>
      <c r="P132" s="19">
        <v>71</v>
      </c>
      <c r="Q132" s="14" t="s">
        <v>1607</v>
      </c>
      <c r="R132" s="19">
        <v>33</v>
      </c>
      <c r="S132" s="14" t="s">
        <v>1608</v>
      </c>
    </row>
    <row r="133" spans="1:19" ht="14.5">
      <c r="A133" s="13" t="s">
        <v>31</v>
      </c>
      <c r="B133" s="13" t="s">
        <v>1609</v>
      </c>
      <c r="C133" s="25"/>
      <c r="D133" s="14" t="s">
        <v>1610</v>
      </c>
      <c r="E133" s="14">
        <v>9000</v>
      </c>
      <c r="F133" s="14" t="s">
        <v>1611</v>
      </c>
      <c r="G133" s="14" t="s">
        <v>1611</v>
      </c>
      <c r="H133" s="14" t="s">
        <v>1527</v>
      </c>
      <c r="I133" s="14" t="s">
        <v>1527</v>
      </c>
      <c r="J133" s="15">
        <v>72170004</v>
      </c>
      <c r="K133" s="14" t="s">
        <v>1612</v>
      </c>
      <c r="L133" s="16" t="s">
        <v>1613</v>
      </c>
      <c r="M133" s="14" t="s">
        <v>1614</v>
      </c>
      <c r="N133" s="18">
        <v>43728</v>
      </c>
      <c r="O133" s="18">
        <v>44012</v>
      </c>
      <c r="P133" s="19">
        <v>60</v>
      </c>
      <c r="Q133" s="14" t="s">
        <v>1615</v>
      </c>
      <c r="R133" s="19">
        <v>25</v>
      </c>
      <c r="S133" s="14" t="s">
        <v>1616</v>
      </c>
    </row>
    <row r="134" spans="1:19" ht="14.5">
      <c r="A134" s="13" t="s">
        <v>31</v>
      </c>
      <c r="B134" s="13" t="s">
        <v>1617</v>
      </c>
      <c r="C134" s="13" t="s">
        <v>1618</v>
      </c>
      <c r="D134" s="14" t="s">
        <v>1619</v>
      </c>
      <c r="E134" s="14">
        <v>9000</v>
      </c>
      <c r="F134" s="14" t="s">
        <v>1611</v>
      </c>
      <c r="G134" s="14" t="s">
        <v>1611</v>
      </c>
      <c r="H134" s="14" t="s">
        <v>1527</v>
      </c>
      <c r="I134" s="14" t="s">
        <v>1527</v>
      </c>
      <c r="J134" s="15">
        <v>96316000</v>
      </c>
      <c r="K134" s="14" t="s">
        <v>1620</v>
      </c>
      <c r="L134" s="16" t="s">
        <v>1621</v>
      </c>
      <c r="M134" s="14" t="s">
        <v>1622</v>
      </c>
      <c r="N134" s="18">
        <v>43698</v>
      </c>
      <c r="O134" s="18">
        <v>43951</v>
      </c>
      <c r="P134" s="19">
        <v>2</v>
      </c>
      <c r="Q134" s="14" t="s">
        <v>1623</v>
      </c>
      <c r="R134" s="19" t="s">
        <v>980</v>
      </c>
      <c r="S134" s="14" t="s">
        <v>980</v>
      </c>
    </row>
    <row r="135" spans="1:19" ht="14.5">
      <c r="A135" s="13" t="s">
        <v>31</v>
      </c>
      <c r="B135" s="13" t="s">
        <v>1624</v>
      </c>
      <c r="C135" s="13" t="s">
        <v>1618</v>
      </c>
      <c r="D135" s="14" t="s">
        <v>1625</v>
      </c>
      <c r="E135" s="14">
        <v>9000</v>
      </c>
      <c r="F135" s="14" t="s">
        <v>1611</v>
      </c>
      <c r="G135" s="14" t="s">
        <v>1611</v>
      </c>
      <c r="H135" s="14" t="s">
        <v>1527</v>
      </c>
      <c r="I135" s="14" t="s">
        <v>1527</v>
      </c>
      <c r="J135" s="15">
        <v>96155000</v>
      </c>
      <c r="K135" s="14" t="s">
        <v>1626</v>
      </c>
      <c r="L135" s="16" t="s">
        <v>1627</v>
      </c>
      <c r="M135" s="14" t="s">
        <v>1622</v>
      </c>
      <c r="N135" s="18">
        <v>43698</v>
      </c>
      <c r="O135" s="18">
        <v>43951</v>
      </c>
      <c r="P135" s="19" t="s">
        <v>980</v>
      </c>
      <c r="Q135" s="14" t="s">
        <v>980</v>
      </c>
      <c r="R135" s="19" t="s">
        <v>980</v>
      </c>
      <c r="S135" s="14" t="s">
        <v>980</v>
      </c>
    </row>
    <row r="136" spans="1:19" ht="14.5">
      <c r="A136" s="13"/>
      <c r="B136" s="13"/>
      <c r="C136" s="88"/>
      <c r="D136" s="14"/>
      <c r="E136" s="14"/>
      <c r="F136" s="14"/>
      <c r="G136" s="14"/>
      <c r="H136" s="14"/>
      <c r="I136" s="14"/>
      <c r="J136" s="15"/>
      <c r="K136" s="14"/>
      <c r="L136" s="13"/>
      <c r="M136" s="14"/>
      <c r="N136" s="17"/>
      <c r="O136" s="18"/>
      <c r="P136" s="19"/>
      <c r="Q136" s="14"/>
      <c r="R136" s="19"/>
      <c r="S136" s="14"/>
    </row>
    <row r="137" spans="1:19" ht="14.5">
      <c r="A137" s="13" t="s">
        <v>31</v>
      </c>
      <c r="B137" s="13" t="s">
        <v>1628</v>
      </c>
      <c r="C137" s="25"/>
      <c r="D137" s="14" t="s">
        <v>1629</v>
      </c>
      <c r="E137" s="14">
        <v>9400</v>
      </c>
      <c r="F137" s="14" t="s">
        <v>1630</v>
      </c>
      <c r="G137" s="14" t="s">
        <v>1611</v>
      </c>
      <c r="H137" s="14" t="s">
        <v>1527</v>
      </c>
      <c r="I137" s="14" t="s">
        <v>1527</v>
      </c>
      <c r="J137" s="15">
        <v>72170008</v>
      </c>
      <c r="K137" s="14" t="s">
        <v>1612</v>
      </c>
      <c r="L137" s="16" t="s">
        <v>1631</v>
      </c>
      <c r="M137" s="14" t="s">
        <v>1614</v>
      </c>
      <c r="N137" s="18">
        <v>43728</v>
      </c>
      <c r="O137" s="18">
        <v>44012</v>
      </c>
      <c r="P137" s="19" t="s">
        <v>980</v>
      </c>
      <c r="Q137" s="14" t="s">
        <v>980</v>
      </c>
      <c r="R137" s="19" t="s">
        <v>980</v>
      </c>
      <c r="S137" s="14" t="s">
        <v>980</v>
      </c>
    </row>
    <row r="138" spans="1:19" ht="14.5">
      <c r="A138" s="13" t="s">
        <v>31</v>
      </c>
      <c r="B138" s="13" t="s">
        <v>1632</v>
      </c>
      <c r="C138" s="13" t="s">
        <v>1618</v>
      </c>
      <c r="D138" s="14" t="s">
        <v>1633</v>
      </c>
      <c r="E138" s="14">
        <v>9492</v>
      </c>
      <c r="F138" s="14" t="s">
        <v>1634</v>
      </c>
      <c r="G138" s="14" t="s">
        <v>1635</v>
      </c>
      <c r="H138" s="14" t="s">
        <v>1527</v>
      </c>
      <c r="I138" s="14" t="s">
        <v>1527</v>
      </c>
      <c r="J138" s="15">
        <v>96732000</v>
      </c>
      <c r="K138" s="14" t="s">
        <v>1636</v>
      </c>
      <c r="L138" s="16" t="s">
        <v>1637</v>
      </c>
      <c r="M138" s="14" t="s">
        <v>1622</v>
      </c>
      <c r="N138" s="18">
        <v>43698</v>
      </c>
      <c r="O138" s="18">
        <v>43951</v>
      </c>
      <c r="P138" s="19">
        <v>11</v>
      </c>
      <c r="Q138" s="14" t="s">
        <v>1638</v>
      </c>
      <c r="R138" s="19" t="s">
        <v>980</v>
      </c>
      <c r="S138" s="14" t="s">
        <v>980</v>
      </c>
    </row>
    <row r="139" spans="1:19" ht="14.5">
      <c r="A139" s="13"/>
      <c r="B139" s="13"/>
      <c r="C139" s="13"/>
      <c r="D139" s="14"/>
      <c r="E139" s="14"/>
      <c r="F139" s="14"/>
      <c r="G139" s="14"/>
      <c r="H139" s="14"/>
      <c r="I139" s="14"/>
      <c r="J139" s="15"/>
      <c r="K139" s="14"/>
      <c r="L139" s="13"/>
      <c r="M139" s="14"/>
      <c r="N139" s="17"/>
      <c r="O139" s="15"/>
      <c r="P139" s="19"/>
      <c r="Q139" s="14"/>
      <c r="R139" s="19"/>
      <c r="S139" s="14"/>
    </row>
    <row r="140" spans="1:19" ht="14.5">
      <c r="A140" s="13" t="s">
        <v>31</v>
      </c>
      <c r="B140" s="13" t="s">
        <v>1639</v>
      </c>
      <c r="C140" s="25"/>
      <c r="D140" s="14" t="s">
        <v>1640</v>
      </c>
      <c r="E140" s="14">
        <v>9500</v>
      </c>
      <c r="F140" s="14" t="s">
        <v>1533</v>
      </c>
      <c r="G140" s="14" t="s">
        <v>1534</v>
      </c>
      <c r="H140" s="14" t="s">
        <v>1527</v>
      </c>
      <c r="I140" s="14" t="s">
        <v>1527</v>
      </c>
      <c r="J140" s="15" t="s">
        <v>1641</v>
      </c>
      <c r="K140" s="14" t="s">
        <v>1642</v>
      </c>
      <c r="L140" s="16" t="s">
        <v>1643</v>
      </c>
      <c r="M140" s="14" t="s">
        <v>1644</v>
      </c>
      <c r="N140" s="18">
        <v>43800</v>
      </c>
      <c r="O140" s="18">
        <v>43921</v>
      </c>
      <c r="P140" s="19">
        <v>119</v>
      </c>
      <c r="Q140" s="14" t="s">
        <v>1645</v>
      </c>
      <c r="R140" s="19">
        <v>34</v>
      </c>
      <c r="S140" s="14" t="s">
        <v>1646</v>
      </c>
    </row>
    <row r="141" spans="1:19" ht="14.5">
      <c r="A141" s="13"/>
      <c r="B141" s="13"/>
      <c r="C141" s="13"/>
      <c r="D141" s="14"/>
      <c r="E141" s="14"/>
      <c r="F141" s="14"/>
      <c r="G141" s="14"/>
      <c r="H141" s="14"/>
      <c r="I141" s="14"/>
      <c r="J141" s="15"/>
      <c r="K141" s="14"/>
      <c r="L141" s="13"/>
      <c r="M141" s="14"/>
      <c r="N141" s="17"/>
      <c r="O141" s="15"/>
      <c r="P141" s="19"/>
      <c r="Q141" s="14"/>
      <c r="R141" s="19"/>
      <c r="S141" s="14"/>
    </row>
    <row r="142" spans="1:19" ht="14.5">
      <c r="A142" s="13"/>
      <c r="B142" s="13"/>
      <c r="C142" s="88"/>
      <c r="D142" s="14"/>
      <c r="E142" s="14"/>
      <c r="F142" s="14"/>
      <c r="G142" s="14"/>
      <c r="H142" s="14"/>
      <c r="I142" s="14"/>
      <c r="J142" s="15"/>
      <c r="K142" s="14"/>
      <c r="L142" s="13"/>
      <c r="M142" s="14"/>
      <c r="N142" s="18"/>
      <c r="O142" s="18"/>
      <c r="P142" s="19"/>
      <c r="Q142" s="14"/>
      <c r="R142" s="19"/>
      <c r="S142" s="14"/>
    </row>
    <row r="143" spans="1:19" ht="14.5">
      <c r="A143" s="13"/>
      <c r="B143" s="13"/>
      <c r="C143" s="88"/>
      <c r="D143" s="14"/>
      <c r="E143" s="14"/>
      <c r="F143" s="14"/>
      <c r="G143" s="14"/>
      <c r="H143" s="14"/>
      <c r="I143" s="14"/>
      <c r="J143" s="15"/>
      <c r="K143" s="14"/>
      <c r="L143" s="13"/>
      <c r="M143" s="14"/>
      <c r="N143" s="18"/>
      <c r="O143" s="18"/>
      <c r="P143" s="19"/>
      <c r="Q143" s="14"/>
      <c r="R143" s="19"/>
      <c r="S143" s="14"/>
    </row>
    <row r="144" spans="1:19" ht="14.5">
      <c r="A144" s="13"/>
      <c r="B144" s="13"/>
      <c r="C144" s="88"/>
      <c r="D144" s="14"/>
      <c r="E144" s="14"/>
      <c r="F144" s="14"/>
      <c r="G144" s="14"/>
      <c r="H144" s="14"/>
      <c r="I144" s="14"/>
      <c r="J144" s="15"/>
      <c r="K144" s="14"/>
      <c r="L144" s="13"/>
      <c r="M144" s="14"/>
      <c r="N144" s="18"/>
      <c r="O144" s="18"/>
      <c r="P144" s="19"/>
      <c r="Q144" s="14"/>
      <c r="R144" s="19"/>
      <c r="S144" s="14"/>
    </row>
    <row r="145" spans="1:19" ht="14.5">
      <c r="A145" s="13"/>
      <c r="B145" s="13"/>
      <c r="C145" s="13"/>
      <c r="D145" s="14"/>
      <c r="E145" s="14"/>
      <c r="F145" s="14"/>
      <c r="G145" s="14"/>
      <c r="H145" s="14"/>
      <c r="I145" s="14"/>
      <c r="J145" s="15"/>
      <c r="K145" s="14"/>
      <c r="L145" s="13"/>
      <c r="M145" s="14"/>
      <c r="N145" s="18"/>
      <c r="O145" s="15"/>
      <c r="P145" s="19"/>
      <c r="Q145" s="14"/>
      <c r="R145" s="19"/>
      <c r="S145" s="14"/>
    </row>
    <row r="146" spans="1:19" ht="14.5">
      <c r="A146" s="13"/>
      <c r="B146" s="13"/>
      <c r="C146" s="88"/>
      <c r="D146" s="14"/>
      <c r="E146" s="14"/>
      <c r="F146" s="14"/>
      <c r="G146" s="14"/>
      <c r="H146" s="14"/>
      <c r="I146" s="14"/>
      <c r="J146" s="15"/>
      <c r="K146" s="14"/>
      <c r="L146" s="13"/>
      <c r="M146" s="14"/>
      <c r="N146" s="18"/>
      <c r="O146" s="18"/>
      <c r="P146" s="19"/>
      <c r="Q146" s="14"/>
      <c r="R146" s="19"/>
      <c r="S146" s="14"/>
    </row>
  </sheetData>
  <autoFilter ref="A1:Z146" xr:uid="{00000000-0009-0000-0000-000004000000}"/>
  <hyperlinks>
    <hyperlink ref="L2" r:id="rId1" xr:uid="{00000000-0004-0000-0400-000000000000}"/>
    <hyperlink ref="L3" r:id="rId2" xr:uid="{00000000-0004-0000-0400-000001000000}"/>
    <hyperlink ref="L4" r:id="rId3" xr:uid="{00000000-0004-0000-0400-000002000000}"/>
    <hyperlink ref="L5" r:id="rId4" xr:uid="{00000000-0004-0000-0400-000003000000}"/>
    <hyperlink ref="L6" r:id="rId5" xr:uid="{00000000-0004-0000-0400-000004000000}"/>
    <hyperlink ref="L7" r:id="rId6" xr:uid="{00000000-0004-0000-0400-000005000000}"/>
    <hyperlink ref="L8" r:id="rId7" xr:uid="{00000000-0004-0000-0400-000006000000}"/>
    <hyperlink ref="L9" r:id="rId8" xr:uid="{00000000-0004-0000-0400-000007000000}"/>
    <hyperlink ref="L10" r:id="rId9" xr:uid="{00000000-0004-0000-0400-000008000000}"/>
    <hyperlink ref="L11" r:id="rId10" xr:uid="{00000000-0004-0000-0400-000009000000}"/>
    <hyperlink ref="L12" r:id="rId11" xr:uid="{00000000-0004-0000-0400-00000A000000}"/>
    <hyperlink ref="L13" r:id="rId12" xr:uid="{00000000-0004-0000-0400-00000B000000}"/>
    <hyperlink ref="L14" r:id="rId13" xr:uid="{00000000-0004-0000-0400-00000C000000}"/>
    <hyperlink ref="L15" r:id="rId14" xr:uid="{00000000-0004-0000-0400-00000D000000}"/>
    <hyperlink ref="L16" r:id="rId15" xr:uid="{00000000-0004-0000-0400-00000E000000}"/>
    <hyperlink ref="L17" r:id="rId16" xr:uid="{00000000-0004-0000-0400-00000F000000}"/>
    <hyperlink ref="L18" r:id="rId17" xr:uid="{00000000-0004-0000-0400-000010000000}"/>
    <hyperlink ref="L19" r:id="rId18" xr:uid="{00000000-0004-0000-0400-000011000000}"/>
    <hyperlink ref="L20" r:id="rId19" xr:uid="{00000000-0004-0000-0400-000012000000}"/>
    <hyperlink ref="L21" r:id="rId20" xr:uid="{00000000-0004-0000-0400-000013000000}"/>
    <hyperlink ref="L22" r:id="rId21" xr:uid="{00000000-0004-0000-0400-000014000000}"/>
    <hyperlink ref="L23" r:id="rId22" xr:uid="{00000000-0004-0000-0400-000015000000}"/>
    <hyperlink ref="L24" r:id="rId23" xr:uid="{00000000-0004-0000-0400-000016000000}"/>
    <hyperlink ref="L25" r:id="rId24" xr:uid="{00000000-0004-0000-0400-000017000000}"/>
    <hyperlink ref="L26" r:id="rId25" xr:uid="{00000000-0004-0000-0400-000018000000}"/>
    <hyperlink ref="L27" r:id="rId26" xr:uid="{00000000-0004-0000-0400-000019000000}"/>
    <hyperlink ref="L28" r:id="rId27" xr:uid="{00000000-0004-0000-0400-00001A000000}"/>
    <hyperlink ref="L29" r:id="rId28" xr:uid="{00000000-0004-0000-0400-00001B000000}"/>
    <hyperlink ref="L30" r:id="rId29" xr:uid="{00000000-0004-0000-0400-00001C000000}"/>
    <hyperlink ref="L31" r:id="rId30" xr:uid="{00000000-0004-0000-0400-00001D000000}"/>
    <hyperlink ref="L32" r:id="rId31" xr:uid="{00000000-0004-0000-0400-00001E000000}"/>
    <hyperlink ref="L33" r:id="rId32" xr:uid="{00000000-0004-0000-0400-00001F000000}"/>
    <hyperlink ref="L34" r:id="rId33" xr:uid="{00000000-0004-0000-0400-000020000000}"/>
    <hyperlink ref="L35" r:id="rId34" xr:uid="{00000000-0004-0000-0400-000021000000}"/>
    <hyperlink ref="L36" r:id="rId35" xr:uid="{00000000-0004-0000-0400-000022000000}"/>
    <hyperlink ref="L37" r:id="rId36" xr:uid="{00000000-0004-0000-0400-000023000000}"/>
    <hyperlink ref="L38" r:id="rId37" xr:uid="{00000000-0004-0000-0400-000024000000}"/>
    <hyperlink ref="L39" r:id="rId38" xr:uid="{00000000-0004-0000-0400-000025000000}"/>
    <hyperlink ref="L40" r:id="rId39" xr:uid="{00000000-0004-0000-0400-000026000000}"/>
    <hyperlink ref="L41" r:id="rId40" xr:uid="{00000000-0004-0000-0400-000027000000}"/>
    <hyperlink ref="L42" r:id="rId41" xr:uid="{00000000-0004-0000-0400-000028000000}"/>
    <hyperlink ref="L43" r:id="rId42" xr:uid="{00000000-0004-0000-0400-000029000000}"/>
    <hyperlink ref="L44" r:id="rId43" xr:uid="{00000000-0004-0000-0400-00002A000000}"/>
    <hyperlink ref="L45" r:id="rId44" xr:uid="{00000000-0004-0000-0400-00002B000000}"/>
    <hyperlink ref="L46" r:id="rId45" xr:uid="{00000000-0004-0000-0400-00002C000000}"/>
    <hyperlink ref="L47" r:id="rId46" xr:uid="{00000000-0004-0000-0400-00002D000000}"/>
    <hyperlink ref="L48" r:id="rId47" xr:uid="{00000000-0004-0000-0400-00002E000000}"/>
    <hyperlink ref="L49" r:id="rId48" xr:uid="{00000000-0004-0000-0400-00002F000000}"/>
    <hyperlink ref="L50" r:id="rId49" xr:uid="{00000000-0004-0000-0400-000030000000}"/>
    <hyperlink ref="L51" r:id="rId50" xr:uid="{00000000-0004-0000-0400-000031000000}"/>
    <hyperlink ref="L52" r:id="rId51" xr:uid="{00000000-0004-0000-0400-000032000000}"/>
    <hyperlink ref="L53" r:id="rId52" xr:uid="{00000000-0004-0000-0400-000033000000}"/>
    <hyperlink ref="L54" r:id="rId53" xr:uid="{00000000-0004-0000-0400-000034000000}"/>
    <hyperlink ref="L55" r:id="rId54" xr:uid="{00000000-0004-0000-0400-000035000000}"/>
    <hyperlink ref="L56" r:id="rId55" xr:uid="{00000000-0004-0000-0400-000036000000}"/>
    <hyperlink ref="L57" r:id="rId56" xr:uid="{00000000-0004-0000-0400-000037000000}"/>
    <hyperlink ref="L58" r:id="rId57" xr:uid="{00000000-0004-0000-0400-000038000000}"/>
    <hyperlink ref="L59" r:id="rId58" xr:uid="{00000000-0004-0000-0400-000039000000}"/>
    <hyperlink ref="L60" r:id="rId59" xr:uid="{00000000-0004-0000-0400-00003A000000}"/>
    <hyperlink ref="L61" r:id="rId60" xr:uid="{00000000-0004-0000-0400-00003B000000}"/>
    <hyperlink ref="L62" r:id="rId61" xr:uid="{00000000-0004-0000-0400-00003C000000}"/>
    <hyperlink ref="L63" r:id="rId62" xr:uid="{00000000-0004-0000-0400-00003D000000}"/>
    <hyperlink ref="L64" r:id="rId63" xr:uid="{00000000-0004-0000-0400-00003E000000}"/>
    <hyperlink ref="L65" r:id="rId64" xr:uid="{00000000-0004-0000-0400-00003F000000}"/>
    <hyperlink ref="L66" r:id="rId65" xr:uid="{00000000-0004-0000-0400-000040000000}"/>
    <hyperlink ref="L68" r:id="rId66" xr:uid="{00000000-0004-0000-0400-000041000000}"/>
    <hyperlink ref="L69" r:id="rId67" xr:uid="{00000000-0004-0000-0400-000042000000}"/>
    <hyperlink ref="L70" r:id="rId68" xr:uid="{00000000-0004-0000-0400-000043000000}"/>
    <hyperlink ref="L71" r:id="rId69" xr:uid="{00000000-0004-0000-0400-000044000000}"/>
    <hyperlink ref="L72" r:id="rId70" xr:uid="{00000000-0004-0000-0400-000045000000}"/>
    <hyperlink ref="L74" r:id="rId71" xr:uid="{00000000-0004-0000-0400-000046000000}"/>
    <hyperlink ref="L75" r:id="rId72" xr:uid="{00000000-0004-0000-0400-000047000000}"/>
    <hyperlink ref="L76" r:id="rId73" xr:uid="{00000000-0004-0000-0400-000048000000}"/>
    <hyperlink ref="L77" r:id="rId74" xr:uid="{00000000-0004-0000-0400-000049000000}"/>
    <hyperlink ref="L78" r:id="rId75" xr:uid="{00000000-0004-0000-0400-00004A000000}"/>
    <hyperlink ref="L79" r:id="rId76" xr:uid="{00000000-0004-0000-0400-00004B000000}"/>
    <hyperlink ref="L80" r:id="rId77" xr:uid="{00000000-0004-0000-0400-00004C000000}"/>
    <hyperlink ref="L81" r:id="rId78" xr:uid="{00000000-0004-0000-0400-00004D000000}"/>
    <hyperlink ref="L82" r:id="rId79" xr:uid="{00000000-0004-0000-0400-00004E000000}"/>
    <hyperlink ref="L83" r:id="rId80" xr:uid="{00000000-0004-0000-0400-00004F000000}"/>
    <hyperlink ref="L85" r:id="rId81" xr:uid="{00000000-0004-0000-0400-000050000000}"/>
    <hyperlink ref="L86" r:id="rId82" xr:uid="{00000000-0004-0000-0400-000051000000}"/>
    <hyperlink ref="L87" r:id="rId83" xr:uid="{00000000-0004-0000-0400-000052000000}"/>
    <hyperlink ref="L88" r:id="rId84" xr:uid="{00000000-0004-0000-0400-000053000000}"/>
    <hyperlink ref="L89" r:id="rId85" xr:uid="{00000000-0004-0000-0400-000054000000}"/>
    <hyperlink ref="L92" r:id="rId86" xr:uid="{00000000-0004-0000-0400-000055000000}"/>
    <hyperlink ref="L94" r:id="rId87" xr:uid="{00000000-0004-0000-0400-000056000000}"/>
    <hyperlink ref="L96" r:id="rId88" xr:uid="{00000000-0004-0000-0400-000057000000}"/>
    <hyperlink ref="L97" r:id="rId89" xr:uid="{00000000-0004-0000-0400-000058000000}"/>
    <hyperlink ref="L98" r:id="rId90" xr:uid="{00000000-0004-0000-0400-000059000000}"/>
    <hyperlink ref="L99" r:id="rId91" xr:uid="{00000000-0004-0000-0400-00005A000000}"/>
    <hyperlink ref="L100" r:id="rId92" xr:uid="{00000000-0004-0000-0400-00005B000000}"/>
    <hyperlink ref="L101" r:id="rId93" xr:uid="{00000000-0004-0000-0400-00005C000000}"/>
    <hyperlink ref="L102" r:id="rId94" xr:uid="{00000000-0004-0000-0400-00005D000000}"/>
    <hyperlink ref="L103" r:id="rId95" xr:uid="{00000000-0004-0000-0400-00005E000000}"/>
    <hyperlink ref="L104" r:id="rId96" xr:uid="{00000000-0004-0000-0400-00005F000000}"/>
    <hyperlink ref="L105" r:id="rId97" xr:uid="{00000000-0004-0000-0400-000060000000}"/>
    <hyperlink ref="L106" r:id="rId98" xr:uid="{00000000-0004-0000-0400-000061000000}"/>
    <hyperlink ref="L107" r:id="rId99" xr:uid="{00000000-0004-0000-0400-000062000000}"/>
    <hyperlink ref="L108" r:id="rId100" xr:uid="{00000000-0004-0000-0400-000063000000}"/>
    <hyperlink ref="L110" r:id="rId101" xr:uid="{00000000-0004-0000-0400-000064000000}"/>
    <hyperlink ref="L112" r:id="rId102" xr:uid="{00000000-0004-0000-0400-000065000000}"/>
    <hyperlink ref="L113" r:id="rId103" xr:uid="{00000000-0004-0000-0400-000066000000}"/>
    <hyperlink ref="L114" r:id="rId104" xr:uid="{00000000-0004-0000-0400-000067000000}"/>
    <hyperlink ref="L116" r:id="rId105" xr:uid="{00000000-0004-0000-0400-000068000000}"/>
    <hyperlink ref="L119" r:id="rId106" xr:uid="{00000000-0004-0000-0400-000069000000}"/>
    <hyperlink ref="L120" r:id="rId107" xr:uid="{00000000-0004-0000-0400-00006A000000}"/>
    <hyperlink ref="L122" r:id="rId108" xr:uid="{00000000-0004-0000-0400-00006B000000}"/>
    <hyperlink ref="L125" r:id="rId109" xr:uid="{00000000-0004-0000-0400-00006C000000}"/>
    <hyperlink ref="L126" r:id="rId110" xr:uid="{00000000-0004-0000-0400-00006D000000}"/>
    <hyperlink ref="L127" r:id="rId111" xr:uid="{00000000-0004-0000-0400-00006E000000}"/>
    <hyperlink ref="L128" r:id="rId112" xr:uid="{00000000-0004-0000-0400-00006F000000}"/>
    <hyperlink ref="L129" r:id="rId113" xr:uid="{00000000-0004-0000-0400-000070000000}"/>
    <hyperlink ref="L130" r:id="rId114" xr:uid="{00000000-0004-0000-0400-000071000000}"/>
    <hyperlink ref="L131" r:id="rId115" xr:uid="{00000000-0004-0000-0400-000072000000}"/>
    <hyperlink ref="L132" r:id="rId116" xr:uid="{00000000-0004-0000-0400-000073000000}"/>
    <hyperlink ref="L133" r:id="rId117" xr:uid="{00000000-0004-0000-0400-000074000000}"/>
    <hyperlink ref="L134" r:id="rId118" xr:uid="{00000000-0004-0000-0400-000075000000}"/>
    <hyperlink ref="L135" r:id="rId119" xr:uid="{00000000-0004-0000-0400-000076000000}"/>
    <hyperlink ref="L137" r:id="rId120" xr:uid="{00000000-0004-0000-0400-000077000000}"/>
    <hyperlink ref="L138" r:id="rId121" xr:uid="{00000000-0004-0000-0400-000078000000}"/>
    <hyperlink ref="L140" r:id="rId122" xr:uid="{00000000-0004-0000-0400-000079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lukkede aftaler PM</vt:lpstr>
      <vt:lpstr>kontakt per. overblik til Camil</vt:lpstr>
      <vt:lpstr>adresse overblik-Camilla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Ann-Louise Teller</dc:creator>
  <cp:lastModifiedBy>Ann-Louise Teller</cp:lastModifiedBy>
  <dcterms:created xsi:type="dcterms:W3CDTF">2022-08-16T09:55:46Z</dcterms:created>
  <dcterms:modified xsi:type="dcterms:W3CDTF">2022-08-16T10:13:55Z</dcterms:modified>
</cp:coreProperties>
</file>