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euroinvestor.sharepoint.com/sites/KommercielleBoliga/Delte dokumenter/Kommercielle produkter/MG-2022/Lister Bo/"/>
    </mc:Choice>
  </mc:AlternateContent>
  <xr:revisionPtr revIDLastSave="0" documentId="8_{9D1AAD6B-C149-482C-A9F2-700C75D53CFE}" xr6:coauthVersionLast="47" xr6:coauthVersionMax="47" xr10:uidLastSave="{00000000-0000-0000-0000-000000000000}"/>
  <bookViews>
    <workbookView xWindow="-103" yWindow="-103" windowWidth="22149" windowHeight="11949" firstSheet="1" activeTab="1" xr2:uid="{00000000-000D-0000-FFFF-FFFF00000000}"/>
  </bookViews>
  <sheets>
    <sheet name="TOTAL-Krahn" sheetId="1" r:id="rId1"/>
    <sheet name="lukkede aftaler PM" sheetId="6" r:id="rId2"/>
    <sheet name="lukkede aftaler mæglere" sheetId="7" r:id="rId3"/>
    <sheet name="lukkede aftaler Nybolig" sheetId="8" r:id="rId4"/>
  </sheets>
  <definedNames>
    <definedName name="_xlnm._FilterDatabase" localSheetId="2" hidden="1">'lukkede aftaler mæglere'!$B$1:$AF$2</definedName>
    <definedName name="_xlnm._FilterDatabase" localSheetId="3" hidden="1">'lukkede aftaler Nybolig'!$B$1:$AF$2</definedName>
    <definedName name="_xlnm._FilterDatabase" localSheetId="1" hidden="1">'lukkede aftaler PM'!$B$1:$AF$2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4" i="8" l="1"/>
  <c r="AB54" i="8"/>
  <c r="Y54" i="8"/>
  <c r="Q54" i="8"/>
  <c r="P54" i="8"/>
  <c r="O54" i="8"/>
  <c r="J54" i="8"/>
  <c r="I54" i="8"/>
  <c r="H54" i="8"/>
  <c r="G54" i="8"/>
  <c r="F54" i="8"/>
  <c r="E54" i="8"/>
  <c r="D54" i="8"/>
  <c r="C54" i="8"/>
  <c r="B54" i="8"/>
  <c r="A54" i="8"/>
  <c r="AC53" i="8"/>
  <c r="AB53" i="8"/>
  <c r="Y53" i="8"/>
  <c r="Q53" i="8"/>
  <c r="P53" i="8"/>
  <c r="O53" i="8"/>
  <c r="N53" i="8"/>
  <c r="M53" i="8"/>
  <c r="L53" i="8"/>
  <c r="K53" i="8"/>
  <c r="J53" i="8"/>
  <c r="I53" i="8"/>
  <c r="G53" i="8"/>
  <c r="F53" i="8"/>
  <c r="D53" i="8"/>
  <c r="C53" i="8"/>
  <c r="B53" i="8"/>
  <c r="A53" i="8"/>
  <c r="AB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G52" i="8"/>
  <c r="F52" i="8"/>
  <c r="E52" i="8"/>
  <c r="D52" i="8"/>
  <c r="C52" i="8"/>
  <c r="B52" i="8"/>
  <c r="A52" i="8"/>
  <c r="AB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E51" i="8"/>
  <c r="D51" i="8"/>
  <c r="B51" i="8"/>
  <c r="A51" i="8"/>
  <c r="AC50" i="8"/>
  <c r="AB50" i="8"/>
  <c r="Z50" i="8"/>
  <c r="Y50" i="8"/>
  <c r="Q50" i="8"/>
  <c r="K50" i="8"/>
  <c r="J50" i="8"/>
  <c r="I50" i="8"/>
  <c r="G50" i="8"/>
  <c r="F50" i="8"/>
  <c r="E50" i="8"/>
  <c r="D50" i="8"/>
  <c r="B50" i="8"/>
  <c r="A50" i="8"/>
  <c r="AC49" i="8"/>
  <c r="AB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G49" i="8"/>
  <c r="F49" i="8"/>
  <c r="E49" i="8"/>
  <c r="D49" i="8"/>
  <c r="B49" i="8"/>
  <c r="A49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E48" i="8"/>
  <c r="D48" i="8"/>
  <c r="B48" i="8"/>
  <c r="A48" i="8"/>
  <c r="AB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E47" i="8"/>
  <c r="B47" i="8"/>
  <c r="A47" i="8"/>
  <c r="AB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E46" i="8"/>
  <c r="D46" i="8"/>
  <c r="B46" i="8"/>
  <c r="A46" i="8"/>
  <c r="AB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E45" i="8"/>
  <c r="D45" i="8"/>
  <c r="B45" i="8"/>
  <c r="A45" i="8"/>
  <c r="AB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E44" i="8"/>
  <c r="D44" i="8"/>
  <c r="B44" i="8"/>
  <c r="A44" i="8"/>
  <c r="AC43" i="8"/>
  <c r="AB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G43" i="8"/>
  <c r="F43" i="8"/>
  <c r="E43" i="8"/>
  <c r="D43" i="8"/>
  <c r="C43" i="8"/>
  <c r="B43" i="8"/>
  <c r="A43" i="8"/>
  <c r="AC42" i="8"/>
  <c r="AB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AC41" i="8"/>
  <c r="AB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G41" i="8"/>
  <c r="F41" i="8"/>
  <c r="E41" i="8"/>
  <c r="D41" i="8"/>
  <c r="C41" i="8"/>
  <c r="B41" i="8"/>
  <c r="A41" i="8"/>
  <c r="AC40" i="8"/>
  <c r="AB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G40" i="8"/>
  <c r="F40" i="8"/>
  <c r="E40" i="8"/>
  <c r="D40" i="8"/>
  <c r="C40" i="8"/>
  <c r="B40" i="8"/>
  <c r="A40" i="8"/>
  <c r="AC39" i="8"/>
  <c r="AB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AC38" i="8"/>
  <c r="AB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AC37" i="8"/>
  <c r="AB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G37" i="8"/>
  <c r="F37" i="8"/>
  <c r="E37" i="8"/>
  <c r="D37" i="8"/>
  <c r="C37" i="8"/>
  <c r="B37" i="8"/>
  <c r="A37" i="8"/>
  <c r="AB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E36" i="8"/>
  <c r="D36" i="8"/>
  <c r="B36" i="8"/>
  <c r="A36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E35" i="8"/>
  <c r="B35" i="8"/>
  <c r="A35" i="8"/>
  <c r="AC34" i="8"/>
  <c r="AB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G34" i="8"/>
  <c r="F34" i="8"/>
  <c r="E34" i="8"/>
  <c r="D34" i="8"/>
  <c r="C34" i="8"/>
  <c r="B34" i="8"/>
  <c r="A34" i="8"/>
  <c r="AC33" i="8"/>
  <c r="AB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G33" i="8"/>
  <c r="F33" i="8"/>
  <c r="E33" i="8"/>
  <c r="D33" i="8"/>
  <c r="C33" i="8"/>
  <c r="B33" i="8"/>
  <c r="A33" i="8"/>
  <c r="AC32" i="8"/>
  <c r="AB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G32" i="8"/>
  <c r="F32" i="8"/>
  <c r="E32" i="8"/>
  <c r="D32" i="8"/>
  <c r="C32" i="8"/>
  <c r="B32" i="8"/>
  <c r="A32" i="8"/>
  <c r="AC31" i="8"/>
  <c r="AB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G31" i="8"/>
  <c r="F31" i="8"/>
  <c r="E31" i="8"/>
  <c r="D31" i="8"/>
  <c r="C31" i="8"/>
  <c r="B31" i="8"/>
  <c r="A31" i="8"/>
  <c r="AC30" i="8"/>
  <c r="AB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G30" i="8"/>
  <c r="F30" i="8"/>
  <c r="E30" i="8"/>
  <c r="D30" i="8"/>
  <c r="C30" i="8"/>
  <c r="B30" i="8"/>
  <c r="A30" i="8"/>
  <c r="AC29" i="8"/>
  <c r="AB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AC28" i="8"/>
  <c r="AB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G28" i="8"/>
  <c r="F28" i="8"/>
  <c r="E28" i="8"/>
  <c r="D28" i="8"/>
  <c r="C28" i="8"/>
  <c r="B28" i="8"/>
  <c r="A28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AC26" i="8"/>
  <c r="AB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G26" i="8"/>
  <c r="F26" i="8"/>
  <c r="E26" i="8"/>
  <c r="D26" i="8"/>
  <c r="C26" i="8"/>
  <c r="B26" i="8"/>
  <c r="A26" i="8"/>
  <c r="AC25" i="8"/>
  <c r="AB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G25" i="8"/>
  <c r="F25" i="8"/>
  <c r="E25" i="8"/>
  <c r="D25" i="8"/>
  <c r="C25" i="8"/>
  <c r="B25" i="8"/>
  <c r="A25" i="8"/>
  <c r="AC24" i="8"/>
  <c r="AB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G24" i="8"/>
  <c r="F24" i="8"/>
  <c r="E24" i="8"/>
  <c r="D24" i="8"/>
  <c r="C24" i="8"/>
  <c r="B24" i="8"/>
  <c r="A24" i="8"/>
  <c r="AC23" i="8"/>
  <c r="AB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G23" i="8"/>
  <c r="F23" i="8"/>
  <c r="E23" i="8"/>
  <c r="D23" i="8"/>
  <c r="C23" i="8"/>
  <c r="B23" i="8"/>
  <c r="A23" i="8"/>
  <c r="AC22" i="8"/>
  <c r="AB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G22" i="8"/>
  <c r="F22" i="8"/>
  <c r="E22" i="8"/>
  <c r="D22" i="8"/>
  <c r="C22" i="8"/>
  <c r="B22" i="8"/>
  <c r="A22" i="8"/>
  <c r="AC21" i="8"/>
  <c r="AB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G21" i="8"/>
  <c r="F21" i="8"/>
  <c r="E21" i="8"/>
  <c r="D21" i="8"/>
  <c r="C21" i="8"/>
  <c r="B21" i="8"/>
  <c r="A21" i="8"/>
  <c r="AC20" i="8"/>
  <c r="AB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G20" i="8"/>
  <c r="F20" i="8"/>
  <c r="E20" i="8"/>
  <c r="D20" i="8"/>
  <c r="C20" i="8"/>
  <c r="B20" i="8"/>
  <c r="A20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E19" i="8"/>
  <c r="D19" i="8"/>
  <c r="B19" i="8"/>
  <c r="A19" i="8"/>
  <c r="AC18" i="8"/>
  <c r="AB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G18" i="8"/>
  <c r="F18" i="8"/>
  <c r="E18" i="8"/>
  <c r="D18" i="8"/>
  <c r="C18" i="8"/>
  <c r="B18" i="8"/>
  <c r="A18" i="8"/>
  <c r="AC17" i="8"/>
  <c r="AB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G17" i="8"/>
  <c r="F17" i="8"/>
  <c r="E17" i="8"/>
  <c r="D17" i="8"/>
  <c r="C17" i="8"/>
  <c r="B17" i="8"/>
  <c r="A17" i="8"/>
  <c r="AC16" i="8"/>
  <c r="AB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G16" i="8"/>
  <c r="F16" i="8"/>
  <c r="E16" i="8"/>
  <c r="D16" i="8"/>
  <c r="C16" i="8"/>
  <c r="B16" i="8"/>
  <c r="A16" i="8"/>
  <c r="AC15" i="8"/>
  <c r="AB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G15" i="8"/>
  <c r="F15" i="8"/>
  <c r="E15" i="8"/>
  <c r="D15" i="8"/>
  <c r="C15" i="8"/>
  <c r="B15" i="8"/>
  <c r="A15" i="8"/>
  <c r="AC14" i="8"/>
  <c r="AB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G14" i="8"/>
  <c r="F14" i="8"/>
  <c r="E14" i="8"/>
  <c r="D14" i="8"/>
  <c r="C14" i="8"/>
  <c r="B14" i="8"/>
  <c r="A14" i="8"/>
  <c r="AC13" i="8"/>
  <c r="AB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G13" i="8"/>
  <c r="F13" i="8"/>
  <c r="E13" i="8"/>
  <c r="D13" i="8"/>
  <c r="C13" i="8"/>
  <c r="B13" i="8"/>
  <c r="A13" i="8"/>
  <c r="AB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E12" i="8"/>
  <c r="D12" i="8"/>
  <c r="B12" i="8"/>
  <c r="A12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G11" i="8"/>
  <c r="F11" i="8"/>
  <c r="E11" i="8"/>
  <c r="D11" i="8"/>
  <c r="C11" i="8"/>
  <c r="B11" i="8"/>
  <c r="A11" i="8"/>
  <c r="AC10" i="8"/>
  <c r="AB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G10" i="8"/>
  <c r="F10" i="8"/>
  <c r="E10" i="8"/>
  <c r="D10" i="8"/>
  <c r="C10" i="8"/>
  <c r="B10" i="8"/>
  <c r="A10" i="8"/>
  <c r="AC9" i="8"/>
  <c r="AB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G9" i="8"/>
  <c r="F9" i="8"/>
  <c r="E9" i="8"/>
  <c r="D9" i="8"/>
  <c r="C9" i="8"/>
  <c r="B9" i="8"/>
  <c r="A9" i="8"/>
  <c r="AC8" i="8"/>
  <c r="AB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G8" i="8"/>
  <c r="F8" i="8"/>
  <c r="E8" i="8"/>
  <c r="D8" i="8"/>
  <c r="C8" i="8"/>
  <c r="B8" i="8"/>
  <c r="A8" i="8"/>
  <c r="AC7" i="8"/>
  <c r="AB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G7" i="8"/>
  <c r="F7" i="8"/>
  <c r="E7" i="8"/>
  <c r="D7" i="8"/>
  <c r="C7" i="8"/>
  <c r="B7" i="8"/>
  <c r="A7" i="8"/>
  <c r="AC6" i="8"/>
  <c r="AB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G6" i="8"/>
  <c r="F6" i="8"/>
  <c r="E6" i="8"/>
  <c r="D6" i="8"/>
  <c r="C6" i="8"/>
  <c r="B6" i="8"/>
  <c r="A6" i="8"/>
  <c r="AC5" i="8"/>
  <c r="AB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G5" i="8"/>
  <c r="F5" i="8"/>
  <c r="E5" i="8"/>
  <c r="D5" i="8"/>
  <c r="C5" i="8"/>
  <c r="B5" i="8"/>
  <c r="A5" i="8"/>
  <c r="AB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E4" i="8"/>
  <c r="D4" i="8"/>
  <c r="B4" i="8"/>
  <c r="A4" i="8"/>
  <c r="AC3" i="8"/>
  <c r="AB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G3" i="8"/>
  <c r="F3" i="8"/>
  <c r="E3" i="8"/>
  <c r="D3" i="8"/>
  <c r="C3" i="8"/>
  <c r="B3" i="8"/>
  <c r="A3" i="8"/>
  <c r="AC2" i="8"/>
  <c r="AB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G2" i="8"/>
  <c r="F2" i="8"/>
  <c r="E2" i="8"/>
  <c r="D2" i="8"/>
  <c r="C2" i="8"/>
  <c r="B2" i="8"/>
  <c r="A2" i="8"/>
  <c r="AC52" i="7"/>
  <c r="AB52" i="7"/>
  <c r="Z52" i="7"/>
  <c r="Y52" i="7"/>
  <c r="Q52" i="7"/>
  <c r="P52" i="7"/>
  <c r="O52" i="7"/>
  <c r="K52" i="7"/>
  <c r="J52" i="7"/>
  <c r="I52" i="7"/>
  <c r="H52" i="7"/>
  <c r="G52" i="7"/>
  <c r="F52" i="7"/>
  <c r="E52" i="7"/>
  <c r="D52" i="7"/>
  <c r="C52" i="7"/>
  <c r="B52" i="7"/>
  <c r="AC51" i="7"/>
  <c r="AB51" i="7"/>
  <c r="Z51" i="7"/>
  <c r="Y51" i="7"/>
  <c r="Q51" i="7"/>
  <c r="P51" i="7"/>
  <c r="O51" i="7"/>
  <c r="N51" i="7"/>
  <c r="M51" i="7"/>
  <c r="L51" i="7"/>
  <c r="K51" i="7"/>
  <c r="J51" i="7"/>
  <c r="I51" i="7"/>
  <c r="G51" i="7"/>
  <c r="F51" i="7"/>
  <c r="E51" i="7"/>
  <c r="D51" i="7"/>
  <c r="C51" i="7"/>
  <c r="B51" i="7"/>
  <c r="A51" i="7"/>
  <c r="AC50" i="7"/>
  <c r="AB50" i="7"/>
  <c r="Z50" i="7"/>
  <c r="Y50" i="7"/>
  <c r="Q50" i="7"/>
  <c r="P50" i="7"/>
  <c r="O50" i="7"/>
  <c r="K50" i="7"/>
  <c r="J50" i="7"/>
  <c r="I50" i="7"/>
  <c r="G50" i="7"/>
  <c r="F50" i="7"/>
  <c r="E50" i="7"/>
  <c r="D50" i="7"/>
  <c r="C50" i="7"/>
  <c r="B50" i="7"/>
  <c r="A50" i="7"/>
  <c r="AC49" i="7"/>
  <c r="AB49" i="7"/>
  <c r="Z49" i="7"/>
  <c r="Y49" i="7"/>
  <c r="K49" i="7"/>
  <c r="J49" i="7"/>
  <c r="I49" i="7"/>
  <c r="G49" i="7"/>
  <c r="F49" i="7"/>
  <c r="E49" i="7"/>
  <c r="D49" i="7"/>
  <c r="C49" i="7"/>
  <c r="B49" i="7"/>
  <c r="A49" i="7"/>
  <c r="AC48" i="7"/>
  <c r="AB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G48" i="7"/>
  <c r="F48" i="7"/>
  <c r="E48" i="7"/>
  <c r="D48" i="7"/>
  <c r="C48" i="7"/>
  <c r="B48" i="7"/>
  <c r="A48" i="7"/>
  <c r="AB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E47" i="7"/>
  <c r="B47" i="7"/>
  <c r="A47" i="7"/>
  <c r="AC46" i="7"/>
  <c r="AB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G46" i="7"/>
  <c r="F46" i="7"/>
  <c r="E46" i="7"/>
  <c r="D46" i="7"/>
  <c r="C46" i="7"/>
  <c r="B46" i="7"/>
  <c r="A46" i="7"/>
  <c r="AC45" i="7"/>
  <c r="AB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G45" i="7"/>
  <c r="F45" i="7"/>
  <c r="E45" i="7"/>
  <c r="D45" i="7"/>
  <c r="C45" i="7"/>
  <c r="B45" i="7"/>
  <c r="A45" i="7"/>
  <c r="AC44" i="7"/>
  <c r="AB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G44" i="7"/>
  <c r="F44" i="7"/>
  <c r="E44" i="7"/>
  <c r="D44" i="7"/>
  <c r="C44" i="7"/>
  <c r="B44" i="7"/>
  <c r="A44" i="7"/>
  <c r="AC43" i="7"/>
  <c r="AB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G43" i="7"/>
  <c r="F43" i="7"/>
  <c r="E43" i="7"/>
  <c r="D43" i="7"/>
  <c r="C43" i="7"/>
  <c r="B43" i="7"/>
  <c r="A43" i="7"/>
  <c r="AC42" i="7"/>
  <c r="AB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G42" i="7"/>
  <c r="F42" i="7"/>
  <c r="E42" i="7"/>
  <c r="D42" i="7"/>
  <c r="C42" i="7"/>
  <c r="B42" i="7"/>
  <c r="A42" i="7"/>
  <c r="AC41" i="7"/>
  <c r="AB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G41" i="7"/>
  <c r="F41" i="7"/>
  <c r="E41" i="7"/>
  <c r="D41" i="7"/>
  <c r="C41" i="7"/>
  <c r="B41" i="7"/>
  <c r="A41" i="7"/>
  <c r="AC40" i="7"/>
  <c r="AB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G40" i="7"/>
  <c r="F40" i="7"/>
  <c r="E40" i="7"/>
  <c r="D40" i="7"/>
  <c r="C40" i="7"/>
  <c r="B40" i="7"/>
  <c r="A40" i="7"/>
  <c r="AB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E39" i="7"/>
  <c r="B39" i="7"/>
  <c r="A39" i="7"/>
  <c r="AB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E38" i="7"/>
  <c r="B38" i="7"/>
  <c r="A38" i="7"/>
  <c r="AC37" i="7"/>
  <c r="AB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G37" i="7"/>
  <c r="F37" i="7"/>
  <c r="E37" i="7"/>
  <c r="D37" i="7"/>
  <c r="C37" i="7"/>
  <c r="B37" i="7"/>
  <c r="A37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E36" i="7"/>
  <c r="B36" i="7"/>
  <c r="A36" i="7"/>
  <c r="AC35" i="7"/>
  <c r="AB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G35" i="7"/>
  <c r="F35" i="7"/>
  <c r="E35" i="7"/>
  <c r="D35" i="7"/>
  <c r="C35" i="7"/>
  <c r="B35" i="7"/>
  <c r="A35" i="7"/>
  <c r="AC34" i="7"/>
  <c r="AB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G34" i="7"/>
  <c r="F34" i="7"/>
  <c r="E34" i="7"/>
  <c r="D34" i="7"/>
  <c r="C34" i="7"/>
  <c r="B34" i="7"/>
  <c r="A34" i="7"/>
  <c r="AC33" i="7"/>
  <c r="AB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G33" i="7"/>
  <c r="F33" i="7"/>
  <c r="E33" i="7"/>
  <c r="D33" i="7"/>
  <c r="C33" i="7"/>
  <c r="B33" i="7"/>
  <c r="A33" i="7"/>
  <c r="AC32" i="7"/>
  <c r="AB32" i="7"/>
  <c r="Y32" i="7"/>
  <c r="X32" i="7"/>
  <c r="W32" i="7"/>
  <c r="V32" i="7"/>
  <c r="U32" i="7"/>
  <c r="R32" i="7"/>
  <c r="Q32" i="7"/>
  <c r="P32" i="7"/>
  <c r="O32" i="7"/>
  <c r="L32" i="7"/>
  <c r="K32" i="7"/>
  <c r="J32" i="7"/>
  <c r="I32" i="7"/>
  <c r="H32" i="7"/>
  <c r="G32" i="7"/>
  <c r="F32" i="7"/>
  <c r="E32" i="7"/>
  <c r="D32" i="7"/>
  <c r="C32" i="7"/>
  <c r="B32" i="7"/>
  <c r="A32" i="7"/>
  <c r="AB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E31" i="7"/>
  <c r="B31" i="7"/>
  <c r="A31" i="7"/>
  <c r="AB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E30" i="7"/>
  <c r="B30" i="7"/>
  <c r="A30" i="7"/>
  <c r="AB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E29" i="7"/>
  <c r="B29" i="7"/>
  <c r="A29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E28" i="7"/>
  <c r="B28" i="7"/>
  <c r="A28" i="7"/>
  <c r="AB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E27" i="7"/>
  <c r="B27" i="7"/>
  <c r="A27" i="7"/>
  <c r="AC26" i="7"/>
  <c r="AB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G26" i="7"/>
  <c r="F26" i="7"/>
  <c r="E26" i="7"/>
  <c r="D26" i="7"/>
  <c r="C26" i="7"/>
  <c r="B26" i="7"/>
  <c r="A26" i="7"/>
  <c r="AB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E25" i="7"/>
  <c r="B25" i="7"/>
  <c r="A25" i="7"/>
  <c r="AC24" i="7"/>
  <c r="AB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G24" i="7"/>
  <c r="F24" i="7"/>
  <c r="E24" i="7"/>
  <c r="D24" i="7"/>
  <c r="C24" i="7"/>
  <c r="B24" i="7"/>
  <c r="A24" i="7"/>
  <c r="AC23" i="7"/>
  <c r="AB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G23" i="7"/>
  <c r="F23" i="7"/>
  <c r="E23" i="7"/>
  <c r="D23" i="7"/>
  <c r="C23" i="7"/>
  <c r="B23" i="7"/>
  <c r="A23" i="7"/>
  <c r="AC22" i="7"/>
  <c r="AB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G22" i="7"/>
  <c r="F22" i="7"/>
  <c r="E22" i="7"/>
  <c r="D22" i="7"/>
  <c r="C22" i="7"/>
  <c r="B22" i="7"/>
  <c r="A22" i="7"/>
  <c r="AC21" i="7"/>
  <c r="AB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G21" i="7"/>
  <c r="F21" i="7"/>
  <c r="E21" i="7"/>
  <c r="D21" i="7"/>
  <c r="C21" i="7"/>
  <c r="B21" i="7"/>
  <c r="A21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G20" i="7"/>
  <c r="F20" i="7"/>
  <c r="E20" i="7"/>
  <c r="D20" i="7"/>
  <c r="C20" i="7"/>
  <c r="B20" i="7"/>
  <c r="A20" i="7"/>
  <c r="AC19" i="7"/>
  <c r="AB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G19" i="7"/>
  <c r="F19" i="7"/>
  <c r="E19" i="7"/>
  <c r="D19" i="7"/>
  <c r="C19" i="7"/>
  <c r="B19" i="7"/>
  <c r="A19" i="7"/>
  <c r="AC18" i="7"/>
  <c r="AB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G18" i="7"/>
  <c r="F18" i="7"/>
  <c r="E18" i="7"/>
  <c r="D18" i="7"/>
  <c r="C18" i="7"/>
  <c r="B18" i="7"/>
  <c r="A18" i="7"/>
  <c r="AC17" i="7"/>
  <c r="AB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G17" i="7"/>
  <c r="F17" i="7"/>
  <c r="E17" i="7"/>
  <c r="D17" i="7"/>
  <c r="C17" i="7"/>
  <c r="B17" i="7"/>
  <c r="A17" i="7"/>
  <c r="AB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E16" i="7"/>
  <c r="B16" i="7"/>
  <c r="A16" i="7"/>
  <c r="AC15" i="7"/>
  <c r="AB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G15" i="7"/>
  <c r="F15" i="7"/>
  <c r="E15" i="7"/>
  <c r="D15" i="7"/>
  <c r="C15" i="7"/>
  <c r="B15" i="7"/>
  <c r="A15" i="7"/>
  <c r="AC14" i="7"/>
  <c r="AB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G14" i="7"/>
  <c r="F14" i="7"/>
  <c r="E14" i="7"/>
  <c r="D14" i="7"/>
  <c r="C14" i="7"/>
  <c r="B14" i="7"/>
  <c r="A14" i="7"/>
  <c r="AC13" i="7"/>
  <c r="AB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G13" i="7"/>
  <c r="F13" i="7"/>
  <c r="E13" i="7"/>
  <c r="D13" i="7"/>
  <c r="C13" i="7"/>
  <c r="B13" i="7"/>
  <c r="A13" i="7"/>
  <c r="AC12" i="7"/>
  <c r="AB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G12" i="7"/>
  <c r="F12" i="7"/>
  <c r="E12" i="7"/>
  <c r="D12" i="7"/>
  <c r="C12" i="7"/>
  <c r="B12" i="7"/>
  <c r="A12" i="7"/>
  <c r="AC11" i="7"/>
  <c r="AB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G11" i="7"/>
  <c r="F11" i="7"/>
  <c r="E11" i="7"/>
  <c r="D11" i="7"/>
  <c r="C11" i="7"/>
  <c r="B11" i="7"/>
  <c r="A11" i="7"/>
  <c r="AC10" i="7"/>
  <c r="AB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G10" i="7"/>
  <c r="F10" i="7"/>
  <c r="E10" i="7"/>
  <c r="D10" i="7"/>
  <c r="C10" i="7"/>
  <c r="B10" i="7"/>
  <c r="A10" i="7"/>
  <c r="AC9" i="7"/>
  <c r="AB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G9" i="7"/>
  <c r="F9" i="7"/>
  <c r="E9" i="7"/>
  <c r="D9" i="7"/>
  <c r="C9" i="7"/>
  <c r="B9" i="7"/>
  <c r="A9" i="7"/>
  <c r="AC8" i="7"/>
  <c r="AB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G8" i="7"/>
  <c r="F8" i="7"/>
  <c r="E8" i="7"/>
  <c r="D8" i="7"/>
  <c r="C8" i="7"/>
  <c r="B8" i="7"/>
  <c r="A8" i="7"/>
  <c r="AB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E7" i="7"/>
  <c r="B7" i="7"/>
  <c r="A7" i="7"/>
  <c r="AC6" i="7"/>
  <c r="AB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G6" i="7"/>
  <c r="F6" i="7"/>
  <c r="E6" i="7"/>
  <c r="D6" i="7"/>
  <c r="C6" i="7"/>
  <c r="B6" i="7"/>
  <c r="A6" i="7"/>
  <c r="AC5" i="7"/>
  <c r="AB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G5" i="7"/>
  <c r="F5" i="7"/>
  <c r="E5" i="7"/>
  <c r="D5" i="7"/>
  <c r="C5" i="7"/>
  <c r="B5" i="7"/>
  <c r="A5" i="7"/>
  <c r="AC4" i="7"/>
  <c r="AB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G4" i="7"/>
  <c r="F4" i="7"/>
  <c r="E4" i="7"/>
  <c r="D4" i="7"/>
  <c r="C4" i="7"/>
  <c r="B4" i="7"/>
  <c r="A4" i="7"/>
  <c r="AC3" i="7"/>
  <c r="AB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G3" i="7"/>
  <c r="F3" i="7"/>
  <c r="E3" i="7"/>
  <c r="D3" i="7"/>
  <c r="C3" i="7"/>
  <c r="B3" i="7"/>
  <c r="A3" i="7"/>
  <c r="AC2" i="7"/>
  <c r="AB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G2" i="7"/>
  <c r="E2" i="7"/>
  <c r="D2" i="7"/>
  <c r="C2" i="7"/>
  <c r="B2" i="7"/>
  <c r="A2" i="7"/>
  <c r="AE41" i="6"/>
  <c r="AD41" i="6"/>
  <c r="AC41" i="6"/>
  <c r="AB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G41" i="6"/>
  <c r="F41" i="6"/>
  <c r="E41" i="6"/>
  <c r="D41" i="6"/>
  <c r="C41" i="6"/>
  <c r="B41" i="6"/>
  <c r="A41" i="6"/>
  <c r="AE40" i="6"/>
  <c r="AD40" i="6"/>
  <c r="AC40" i="6"/>
  <c r="AB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G40" i="6"/>
  <c r="F40" i="6"/>
  <c r="E40" i="6"/>
  <c r="D40" i="6"/>
  <c r="C40" i="6"/>
  <c r="B40" i="6"/>
  <c r="A40" i="6"/>
  <c r="AC39" i="6"/>
  <c r="AB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G39" i="6"/>
  <c r="F39" i="6"/>
  <c r="E39" i="6"/>
  <c r="D39" i="6"/>
  <c r="C39" i="6"/>
  <c r="B39" i="6"/>
  <c r="A39" i="6"/>
  <c r="AC38" i="6"/>
  <c r="AB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G38" i="6"/>
  <c r="F38" i="6"/>
  <c r="E38" i="6"/>
  <c r="D38" i="6"/>
  <c r="C38" i="6"/>
  <c r="B38" i="6"/>
  <c r="A38" i="6"/>
  <c r="AD37" i="6"/>
  <c r="AC37" i="6"/>
  <c r="AB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G37" i="6"/>
  <c r="F37" i="6"/>
  <c r="E37" i="6"/>
  <c r="D37" i="6"/>
  <c r="C37" i="6"/>
  <c r="B37" i="6"/>
  <c r="A37" i="6"/>
  <c r="AD36" i="6"/>
  <c r="AC36" i="6"/>
  <c r="AB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G36" i="6"/>
  <c r="F36" i="6"/>
  <c r="E36" i="6"/>
  <c r="D36" i="6"/>
  <c r="C36" i="6"/>
  <c r="B36" i="6"/>
  <c r="A36" i="6"/>
  <c r="AE35" i="6"/>
  <c r="AD35" i="6"/>
  <c r="AC35" i="6"/>
  <c r="AB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G35" i="6"/>
  <c r="F35" i="6"/>
  <c r="E35" i="6"/>
  <c r="D35" i="6"/>
  <c r="C35" i="6"/>
  <c r="B35" i="6"/>
  <c r="A35" i="6"/>
  <c r="AD34" i="6"/>
  <c r="AB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F34" i="6"/>
  <c r="E34" i="6"/>
  <c r="D34" i="6"/>
  <c r="B34" i="6"/>
  <c r="A34" i="6"/>
  <c r="AD33" i="6"/>
  <c r="AB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F33" i="6"/>
  <c r="E33" i="6"/>
  <c r="D33" i="6"/>
  <c r="B33" i="6"/>
  <c r="A33" i="6"/>
  <c r="AD32" i="6"/>
  <c r="AC32" i="6"/>
  <c r="AB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G32" i="6"/>
  <c r="F32" i="6"/>
  <c r="E32" i="6"/>
  <c r="D32" i="6"/>
  <c r="C32" i="6"/>
  <c r="B32" i="6"/>
  <c r="A32" i="6"/>
  <c r="AD31" i="6"/>
  <c r="AC31" i="6"/>
  <c r="AB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G31" i="6"/>
  <c r="F31" i="6"/>
  <c r="E31" i="6"/>
  <c r="D31" i="6"/>
  <c r="C31" i="6"/>
  <c r="B31" i="6"/>
  <c r="A31" i="6"/>
  <c r="AD30" i="6"/>
  <c r="AC30" i="6"/>
  <c r="AB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G30" i="6"/>
  <c r="F30" i="6"/>
  <c r="E30" i="6"/>
  <c r="D30" i="6"/>
  <c r="C30" i="6"/>
  <c r="B30" i="6"/>
  <c r="A30" i="6"/>
  <c r="AD29" i="6"/>
  <c r="AC29" i="6"/>
  <c r="AB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F29" i="6"/>
  <c r="E29" i="6"/>
  <c r="D29" i="6"/>
  <c r="B29" i="6"/>
  <c r="A29" i="6"/>
  <c r="AE28" i="6"/>
  <c r="AD28" i="6"/>
  <c r="AB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F28" i="6"/>
  <c r="E28" i="6"/>
  <c r="D28" i="6"/>
  <c r="B28" i="6"/>
  <c r="A28" i="6"/>
  <c r="AD27" i="6"/>
  <c r="AC27" i="6"/>
  <c r="AB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G27" i="6"/>
  <c r="F27" i="6"/>
  <c r="E27" i="6"/>
  <c r="D27" i="6"/>
  <c r="C27" i="6"/>
  <c r="B27" i="6"/>
  <c r="A27" i="6"/>
  <c r="AD26" i="6"/>
  <c r="AC26" i="6"/>
  <c r="AB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G26" i="6"/>
  <c r="F26" i="6"/>
  <c r="E26" i="6"/>
  <c r="D26" i="6"/>
  <c r="C26" i="6"/>
  <c r="B26" i="6"/>
  <c r="A26" i="6"/>
  <c r="AD25" i="6"/>
  <c r="AC25" i="6"/>
  <c r="AB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G25" i="6"/>
  <c r="F25" i="6"/>
  <c r="E25" i="6"/>
  <c r="D25" i="6"/>
  <c r="C25" i="6"/>
  <c r="B25" i="6"/>
  <c r="A25" i="6"/>
  <c r="AC24" i="6"/>
  <c r="AB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  <c r="C24" i="6"/>
  <c r="B24" i="6"/>
  <c r="A24" i="6"/>
  <c r="AD23" i="6"/>
  <c r="AC23" i="6"/>
  <c r="AB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G23" i="6"/>
  <c r="F23" i="6"/>
  <c r="E23" i="6"/>
  <c r="D23" i="6"/>
  <c r="C23" i="6"/>
  <c r="B23" i="6"/>
  <c r="A23" i="6"/>
  <c r="AD22" i="6"/>
  <c r="AC22" i="6"/>
  <c r="AB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G22" i="6"/>
  <c r="F22" i="6"/>
  <c r="E22" i="6"/>
  <c r="D22" i="6"/>
  <c r="C22" i="6"/>
  <c r="B22" i="6"/>
  <c r="A22" i="6"/>
  <c r="AD21" i="6"/>
  <c r="AC21" i="6"/>
  <c r="AB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G21" i="6"/>
  <c r="F21" i="6"/>
  <c r="E21" i="6"/>
  <c r="D21" i="6"/>
  <c r="C21" i="6"/>
  <c r="B21" i="6"/>
  <c r="A21" i="6"/>
  <c r="AD20" i="6"/>
  <c r="AB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F20" i="6"/>
  <c r="E20" i="6"/>
  <c r="D20" i="6"/>
  <c r="B20" i="6"/>
  <c r="A20" i="6"/>
  <c r="AD19" i="6"/>
  <c r="AB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G19" i="6"/>
  <c r="F19" i="6"/>
  <c r="E19" i="6"/>
  <c r="D19" i="6"/>
  <c r="C19" i="6"/>
  <c r="B19" i="6"/>
  <c r="A19" i="6"/>
  <c r="AD18" i="6"/>
  <c r="AB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G18" i="6"/>
  <c r="F18" i="6"/>
  <c r="E18" i="6"/>
  <c r="D18" i="6"/>
  <c r="C18" i="6"/>
  <c r="B18" i="6"/>
  <c r="A18" i="6"/>
  <c r="AD17" i="6"/>
  <c r="AC17" i="6"/>
  <c r="AB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G17" i="6"/>
  <c r="F17" i="6"/>
  <c r="E17" i="6"/>
  <c r="D17" i="6"/>
  <c r="B17" i="6"/>
  <c r="A17" i="6"/>
  <c r="AD16" i="6"/>
  <c r="AC16" i="6"/>
  <c r="AB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G16" i="6"/>
  <c r="F16" i="6"/>
  <c r="E16" i="6"/>
  <c r="D16" i="6"/>
  <c r="C16" i="6"/>
  <c r="B16" i="6"/>
  <c r="A16" i="6"/>
  <c r="AD15" i="6"/>
  <c r="AB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G15" i="6"/>
  <c r="F15" i="6"/>
  <c r="E15" i="6"/>
  <c r="D15" i="6"/>
  <c r="C15" i="6"/>
  <c r="B15" i="6"/>
  <c r="A15" i="6"/>
  <c r="AE14" i="6"/>
  <c r="AD14" i="6"/>
  <c r="AB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F14" i="6"/>
  <c r="E14" i="6"/>
  <c r="D14" i="6"/>
  <c r="B14" i="6"/>
  <c r="A14" i="6"/>
  <c r="AE13" i="6"/>
  <c r="AD13" i="6"/>
  <c r="AC13" i="6"/>
  <c r="AB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G13" i="6"/>
  <c r="F13" i="6"/>
  <c r="E13" i="6"/>
  <c r="D13" i="6"/>
  <c r="C13" i="6"/>
  <c r="B13" i="6"/>
  <c r="A13" i="6"/>
  <c r="AD12" i="6"/>
  <c r="AB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F12" i="6"/>
  <c r="E12" i="6"/>
  <c r="D12" i="6"/>
  <c r="B12" i="6"/>
  <c r="A12" i="6"/>
  <c r="AE11" i="6"/>
  <c r="AD11" i="6"/>
  <c r="AB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F11" i="6"/>
  <c r="E11" i="6"/>
  <c r="D11" i="6"/>
  <c r="B11" i="6"/>
  <c r="A11" i="6"/>
  <c r="AE10" i="6"/>
  <c r="AD10" i="6"/>
  <c r="AB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G10" i="6"/>
  <c r="F10" i="6"/>
  <c r="E10" i="6"/>
  <c r="D10" i="6"/>
  <c r="C10" i="6"/>
  <c r="B10" i="6"/>
  <c r="A10" i="6"/>
  <c r="AB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F9" i="6"/>
  <c r="E9" i="6"/>
  <c r="D9" i="6"/>
  <c r="B9" i="6"/>
  <c r="A9" i="6"/>
  <c r="AB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F8" i="6"/>
  <c r="E8" i="6"/>
  <c r="D8" i="6"/>
  <c r="B8" i="6"/>
  <c r="A8" i="6"/>
  <c r="AC7" i="6"/>
  <c r="AB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G7" i="6"/>
  <c r="F7" i="6"/>
  <c r="E7" i="6"/>
  <c r="D7" i="6"/>
  <c r="C7" i="6"/>
  <c r="B7" i="6"/>
  <c r="A7" i="6"/>
  <c r="AC6" i="6"/>
  <c r="AB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E6" i="6"/>
  <c r="D6" i="6"/>
  <c r="B6" i="6"/>
  <c r="A6" i="6"/>
  <c r="AE5" i="6"/>
  <c r="AB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E5" i="6"/>
  <c r="D5" i="6"/>
  <c r="B5" i="6"/>
  <c r="A5" i="6"/>
  <c r="AB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E4" i="6"/>
  <c r="D4" i="6"/>
  <c r="B4" i="6"/>
  <c r="A4" i="6"/>
  <c r="AC3" i="6"/>
  <c r="AB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E3" i="6"/>
  <c r="D3" i="6"/>
  <c r="B3" i="6"/>
  <c r="A3" i="6"/>
  <c r="AB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E2" i="6"/>
  <c r="D2" i="6"/>
  <c r="B2" i="6"/>
  <c r="A2" i="6"/>
  <c r="C3" i="1"/>
  <c r="C2" i="1"/>
  <c r="D4" i="1"/>
  <c r="D2" i="1"/>
  <c r="B7" i="1"/>
  <c r="B2" i="1"/>
  <c r="E10" i="1"/>
  <c r="D9" i="1"/>
  <c r="C9" i="1"/>
  <c r="E9" i="1" s="1"/>
  <c r="B9" i="1"/>
  <c r="A9" i="1"/>
  <c r="D8" i="1"/>
  <c r="C8" i="1"/>
  <c r="A8" i="1"/>
  <c r="D7" i="1"/>
  <c r="A7" i="1"/>
  <c r="D6" i="1"/>
  <c r="C6" i="1"/>
  <c r="B6" i="1"/>
  <c r="A6" i="1"/>
  <c r="D5" i="1"/>
  <c r="C5" i="1"/>
  <c r="C4" i="1"/>
  <c r="B4" i="1"/>
  <c r="A4" i="1"/>
  <c r="D3" i="1"/>
  <c r="B3" i="1"/>
  <c r="A3" i="1"/>
  <c r="A2" i="1"/>
  <c r="E6" i="1" l="1"/>
  <c r="B8" i="1"/>
  <c r="E8" i="1" s="1"/>
  <c r="C7" i="1"/>
  <c r="E7" i="1" s="1"/>
</calcChain>
</file>

<file path=xl/sharedStrings.xml><?xml version="1.0" encoding="utf-8"?>
<sst xmlns="http://schemas.openxmlformats.org/spreadsheetml/2006/main" count="104" uniqueCount="41">
  <si>
    <t>PM</t>
  </si>
  <si>
    <t>Estate</t>
  </si>
  <si>
    <t>Nybolig</t>
  </si>
  <si>
    <t>Resultat- alle mine MG</t>
  </si>
  <si>
    <t>Totale mæglere</t>
  </si>
  <si>
    <t>MÅ IKKE SLETTES</t>
  </si>
  <si>
    <t>produktnavne</t>
  </si>
  <si>
    <t>MG-JY: 2.499,-</t>
  </si>
  <si>
    <t>MG-SJ: 3.499,-</t>
  </si>
  <si>
    <t>MG-PM-JY: 1.949,-</t>
  </si>
  <si>
    <t>MG-PM-SJ: 2.600,-</t>
  </si>
  <si>
    <t>Ansvarlig</t>
  </si>
  <si>
    <t>Mæglernavn</t>
  </si>
  <si>
    <t>CVR</t>
  </si>
  <si>
    <t>Produktnavn</t>
  </si>
  <si>
    <t>Produktnr. (Economics)</t>
  </si>
  <si>
    <t>Primær kontakt</t>
  </si>
  <si>
    <t>Primær kontakt (mail)</t>
  </si>
  <si>
    <t>primær kontakt (tlf)</t>
  </si>
  <si>
    <t>Adresse</t>
  </si>
  <si>
    <t>Postnr</t>
  </si>
  <si>
    <t>Postdistrikt</t>
  </si>
  <si>
    <t>Kommune</t>
  </si>
  <si>
    <t>Landsdel</t>
  </si>
  <si>
    <t>Region</t>
  </si>
  <si>
    <t>Tlf</t>
  </si>
  <si>
    <t>Email</t>
  </si>
  <si>
    <t>Link</t>
  </si>
  <si>
    <t>PM postnumre</t>
  </si>
  <si>
    <t>PM start</t>
  </si>
  <si>
    <t>PM stop</t>
  </si>
  <si>
    <t>Udbud</t>
  </si>
  <si>
    <t>Postnumre med udbud</t>
  </si>
  <si>
    <t>Handler (6 mdr.)</t>
  </si>
  <si>
    <t>Postnumre med handler</t>
  </si>
  <si>
    <t>MG ja/nej/måske/møde</t>
  </si>
  <si>
    <t>kommentar</t>
  </si>
  <si>
    <t>Dato (evt. Møde)</t>
  </si>
  <si>
    <t>kontrakt sendt</t>
  </si>
  <si>
    <t>bekræftelse modtaget</t>
  </si>
  <si>
    <t>Premium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</si>
</sst>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"/>
    <numFmt numFmtId="165" formatCode="dd\-mm\-yyyy"/>
  </numFmts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1"/>
      <color rgb="FF1D1C1D"/>
      <name val="Slack-Lato"/>
    </font>
    <font>
      <b/>
      <sz val="11"/>
      <color rgb="FF000000"/>
      <name val="Calibri"/>
    </font>
    <font>
      <b/>
      <sz val="12"/>
      <color theme="1"/>
      <name val="Calibri"/>
    </font>
    <font>
      <b/>
      <sz val="10"/>
      <color rgb="FF000000"/>
      <name val="Arial"/>
      <scheme val="minor"/>
    </font>
    <font>
      <u/>
      <sz val="10"/>
      <color rgb="FF0000FF"/>
      <name val="Arial"/>
    </font>
  </fonts>
  <fills count="12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4C7C3"/>
        <bgColor rgb="FFF4C7C3"/>
      </patternFill>
    </fill>
    <fill>
      <patternFill patternType="solid">
        <fgColor rgb="FFFFFF00"/>
        <bgColor rgb="FFFFFF00"/>
      </patternFill>
    </fill>
    <fill>
      <patternFill patternType="solid">
        <fgColor rgb="FFF8F8F8"/>
        <bgColor rgb="FFF8F8F8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9" fontId="1" fillId="2" borderId="0" xfId="0" applyNumberFormat="1" applyFont="1" applyFill="1"/>
    <xf numFmtId="9" fontId="1" fillId="3" borderId="0" xfId="0" applyNumberFormat="1" applyFont="1" applyFill="1"/>
    <xf numFmtId="9" fontId="1" fillId="4" borderId="0" xfId="0" applyNumberFormat="1" applyFont="1" applyFill="1"/>
    <xf numFmtId="0" fontId="2" fillId="0" borderId="0" xfId="0" applyFont="1" applyAlignment="1"/>
    <xf numFmtId="3" fontId="1" fillId="0" borderId="0" xfId="0" applyNumberFormat="1" applyFont="1"/>
    <xf numFmtId="9" fontId="3" fillId="2" borderId="0" xfId="0" applyNumberFormat="1" applyFont="1" applyFill="1"/>
    <xf numFmtId="9" fontId="3" fillId="5" borderId="0" xfId="0" applyNumberFormat="1" applyFont="1" applyFill="1"/>
    <xf numFmtId="9" fontId="3" fillId="4" borderId="0" xfId="0" applyNumberFormat="1" applyFont="1" applyFill="1"/>
    <xf numFmtId="0" fontId="4" fillId="6" borderId="0" xfId="0" applyFont="1" applyFill="1" applyAlignment="1"/>
    <xf numFmtId="0" fontId="4" fillId="0" borderId="0" xfId="0" applyFont="1" applyAlignment="1"/>
    <xf numFmtId="0" fontId="5" fillId="7" borderId="0" xfId="0" applyFont="1" applyFill="1" applyAlignment="1"/>
    <xf numFmtId="0" fontId="5" fillId="7" borderId="0" xfId="0" applyFont="1" applyFill="1" applyAlignment="1">
      <alignment horizontal="left"/>
    </xf>
    <xf numFmtId="0" fontId="5" fillId="7" borderId="0" xfId="0" applyFont="1" applyFill="1" applyAlignment="1"/>
    <xf numFmtId="0" fontId="6" fillId="8" borderId="0" xfId="0" applyFont="1" applyFill="1" applyAlignment="1"/>
    <xf numFmtId="0" fontId="7" fillId="8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6" fillId="8" borderId="0" xfId="0" applyFont="1" applyFill="1" applyAlignment="1">
      <alignment horizontal="left"/>
    </xf>
    <xf numFmtId="0" fontId="6" fillId="8" borderId="0" xfId="0" applyFont="1" applyFill="1" applyAlignment="1">
      <alignment horizontal="left" wrapText="1"/>
    </xf>
    <xf numFmtId="0" fontId="8" fillId="9" borderId="0" xfId="0" applyFont="1" applyFill="1" applyAlignment="1"/>
    <xf numFmtId="0" fontId="8" fillId="9" borderId="0" xfId="0" applyFont="1" applyFill="1" applyAlignment="1">
      <alignment wrapText="1"/>
    </xf>
    <xf numFmtId="0" fontId="8" fillId="10" borderId="0" xfId="0" applyFont="1" applyFill="1" applyAlignment="1"/>
    <xf numFmtId="0" fontId="8" fillId="11" borderId="0" xfId="0" applyFont="1" applyFill="1" applyAlignme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9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1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iga.dk/maegler/142" TargetMode="External"/><Relationship Id="rId18" Type="http://schemas.openxmlformats.org/officeDocument/2006/relationships/hyperlink" Target="https://www.boliga.dk/maegler/101" TargetMode="External"/><Relationship Id="rId26" Type="http://schemas.openxmlformats.org/officeDocument/2006/relationships/hyperlink" Target="https://www.boliga.dk/maegler/18075" TargetMode="External"/><Relationship Id="rId39" Type="http://schemas.openxmlformats.org/officeDocument/2006/relationships/hyperlink" Target="https://www.boliga.dk/maegler/24227" TargetMode="External"/><Relationship Id="rId21" Type="http://schemas.openxmlformats.org/officeDocument/2006/relationships/hyperlink" Target="https://www.boliga.dk/maegler/337" TargetMode="External"/><Relationship Id="rId34" Type="http://schemas.openxmlformats.org/officeDocument/2006/relationships/hyperlink" Target="https://www.boliga.dk/maegler/717" TargetMode="External"/><Relationship Id="rId7" Type="http://schemas.openxmlformats.org/officeDocument/2006/relationships/hyperlink" Target="https://www.boliga.dk/maegler/116" TargetMode="External"/><Relationship Id="rId12" Type="http://schemas.openxmlformats.org/officeDocument/2006/relationships/hyperlink" Target="https://www.boliga.dk/maegler/150" TargetMode="External"/><Relationship Id="rId17" Type="http://schemas.openxmlformats.org/officeDocument/2006/relationships/hyperlink" Target="https://www.boliga.dk/maegler/775" TargetMode="External"/><Relationship Id="rId25" Type="http://schemas.openxmlformats.org/officeDocument/2006/relationships/hyperlink" Target="https://www.boliga.dk/maegler/20712" TargetMode="External"/><Relationship Id="rId33" Type="http://schemas.openxmlformats.org/officeDocument/2006/relationships/hyperlink" Target="https://www.boliga.dk/maegler/673" TargetMode="External"/><Relationship Id="rId38" Type="http://schemas.openxmlformats.org/officeDocument/2006/relationships/hyperlink" Target="https://www.boliga.dk/maegler/17767" TargetMode="External"/><Relationship Id="rId2" Type="http://schemas.openxmlformats.org/officeDocument/2006/relationships/hyperlink" Target="https://www.boliga.dk/maegler/17981" TargetMode="External"/><Relationship Id="rId16" Type="http://schemas.openxmlformats.org/officeDocument/2006/relationships/hyperlink" Target="https://www.boliga.dk/maegler/143" TargetMode="External"/><Relationship Id="rId20" Type="http://schemas.openxmlformats.org/officeDocument/2006/relationships/hyperlink" Target="https://www.boliga.dk/maegler/835" TargetMode="External"/><Relationship Id="rId29" Type="http://schemas.openxmlformats.org/officeDocument/2006/relationships/hyperlink" Target="https://www.boliga.dk/maegler/374" TargetMode="External"/><Relationship Id="rId1" Type="http://schemas.openxmlformats.org/officeDocument/2006/relationships/hyperlink" Target="https://www.boliga.dk/maegler/427" TargetMode="External"/><Relationship Id="rId6" Type="http://schemas.openxmlformats.org/officeDocument/2006/relationships/hyperlink" Target="https://www.boliga.dk/maegler/504" TargetMode="External"/><Relationship Id="rId11" Type="http://schemas.openxmlformats.org/officeDocument/2006/relationships/hyperlink" Target="https://www.boliga.dk/maegler/884" TargetMode="External"/><Relationship Id="rId24" Type="http://schemas.openxmlformats.org/officeDocument/2006/relationships/hyperlink" Target="https://www.boliga.dk/maegler/376" TargetMode="External"/><Relationship Id="rId32" Type="http://schemas.openxmlformats.org/officeDocument/2006/relationships/hyperlink" Target="https://www.boliga.dk/maegler/540" TargetMode="External"/><Relationship Id="rId37" Type="http://schemas.openxmlformats.org/officeDocument/2006/relationships/hyperlink" Target="https://www.boliga.dk/maegler/17480" TargetMode="External"/><Relationship Id="rId40" Type="http://schemas.openxmlformats.org/officeDocument/2006/relationships/hyperlink" Target="https://www.boliga.dk/maegler/27653" TargetMode="External"/><Relationship Id="rId5" Type="http://schemas.openxmlformats.org/officeDocument/2006/relationships/hyperlink" Target="https://www.boliga.dk/maegler/1080" TargetMode="External"/><Relationship Id="rId15" Type="http://schemas.openxmlformats.org/officeDocument/2006/relationships/hyperlink" Target="https://www.boliga.dk/maegler/17485" TargetMode="External"/><Relationship Id="rId23" Type="http://schemas.openxmlformats.org/officeDocument/2006/relationships/hyperlink" Target="https://www.boliga.dk/maegler/439" TargetMode="External"/><Relationship Id="rId28" Type="http://schemas.openxmlformats.org/officeDocument/2006/relationships/hyperlink" Target="https://www.boliga.dk/maegler/25121" TargetMode="External"/><Relationship Id="rId36" Type="http://schemas.openxmlformats.org/officeDocument/2006/relationships/hyperlink" Target="https://www.boliga.dk/maegler/88" TargetMode="External"/><Relationship Id="rId10" Type="http://schemas.openxmlformats.org/officeDocument/2006/relationships/hyperlink" Target="https://www.boliga.dk/maegler/572" TargetMode="External"/><Relationship Id="rId19" Type="http://schemas.openxmlformats.org/officeDocument/2006/relationships/hyperlink" Target="https://www.boliga.dk/maegler/168" TargetMode="External"/><Relationship Id="rId31" Type="http://schemas.openxmlformats.org/officeDocument/2006/relationships/hyperlink" Target="https://www.boliga.dk/maegler/407" TargetMode="External"/><Relationship Id="rId4" Type="http://schemas.openxmlformats.org/officeDocument/2006/relationships/hyperlink" Target="https://www.boliga.dk/maegler/1052" TargetMode="External"/><Relationship Id="rId9" Type="http://schemas.openxmlformats.org/officeDocument/2006/relationships/hyperlink" Target="https://www.boliga.dk/maegler/137" TargetMode="External"/><Relationship Id="rId14" Type="http://schemas.openxmlformats.org/officeDocument/2006/relationships/hyperlink" Target="https://www.boliga.dk/maegler/18703" TargetMode="External"/><Relationship Id="rId22" Type="http://schemas.openxmlformats.org/officeDocument/2006/relationships/hyperlink" Target="https://www.boliga.dk/maegler/855" TargetMode="External"/><Relationship Id="rId27" Type="http://schemas.openxmlformats.org/officeDocument/2006/relationships/hyperlink" Target="https://www.boliga.dk/maegler/804" TargetMode="External"/><Relationship Id="rId30" Type="http://schemas.openxmlformats.org/officeDocument/2006/relationships/hyperlink" Target="https://www.boliga.dk/maegler/752" TargetMode="External"/><Relationship Id="rId35" Type="http://schemas.openxmlformats.org/officeDocument/2006/relationships/hyperlink" Target="https://www.boliga.dk/maegler/25115" TargetMode="External"/><Relationship Id="rId8" Type="http://schemas.openxmlformats.org/officeDocument/2006/relationships/hyperlink" Target="https://www.boliga.dk/maegler/324" TargetMode="External"/><Relationship Id="rId3" Type="http://schemas.openxmlformats.org/officeDocument/2006/relationships/hyperlink" Target="https://www.boliga.dk/maegler/18064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iga.dk/maegler/25153" TargetMode="External"/><Relationship Id="rId18" Type="http://schemas.openxmlformats.org/officeDocument/2006/relationships/hyperlink" Target="https://www.boliga.dk/maegler/25147" TargetMode="External"/><Relationship Id="rId26" Type="http://schemas.openxmlformats.org/officeDocument/2006/relationships/hyperlink" Target="https://www.boliga.dk/maegler/25112" TargetMode="External"/><Relationship Id="rId39" Type="http://schemas.openxmlformats.org/officeDocument/2006/relationships/hyperlink" Target="https://www.boliga.dk/maegler/25164" TargetMode="External"/><Relationship Id="rId21" Type="http://schemas.openxmlformats.org/officeDocument/2006/relationships/hyperlink" Target="https://www.boliga.dk/maegler/25429" TargetMode="External"/><Relationship Id="rId34" Type="http://schemas.openxmlformats.org/officeDocument/2006/relationships/hyperlink" Target="https://www.boliga.dk/maegler/25124" TargetMode="External"/><Relationship Id="rId42" Type="http://schemas.openxmlformats.org/officeDocument/2006/relationships/hyperlink" Target="https://www.boliga.dk/maegler/27104" TargetMode="External"/><Relationship Id="rId47" Type="http://schemas.openxmlformats.org/officeDocument/2006/relationships/hyperlink" Target="https://www.boliga.dk/maegler/24710" TargetMode="External"/><Relationship Id="rId50" Type="http://schemas.openxmlformats.org/officeDocument/2006/relationships/hyperlink" Target="mailto:2301@estate.dk" TargetMode="External"/><Relationship Id="rId7" Type="http://schemas.openxmlformats.org/officeDocument/2006/relationships/hyperlink" Target="https://www.boliga.dk/maegler/25160" TargetMode="External"/><Relationship Id="rId2" Type="http://schemas.openxmlformats.org/officeDocument/2006/relationships/hyperlink" Target="https://www.boliga.dk/maegler/25131" TargetMode="External"/><Relationship Id="rId16" Type="http://schemas.openxmlformats.org/officeDocument/2006/relationships/hyperlink" Target="https://www.boliga.dk/maegler/25110" TargetMode="External"/><Relationship Id="rId29" Type="http://schemas.openxmlformats.org/officeDocument/2006/relationships/hyperlink" Target="https://www.boliga.dk/maegler/27067" TargetMode="External"/><Relationship Id="rId11" Type="http://schemas.openxmlformats.org/officeDocument/2006/relationships/hyperlink" Target="https://www.boliga.dk/maegler/25158" TargetMode="External"/><Relationship Id="rId24" Type="http://schemas.openxmlformats.org/officeDocument/2006/relationships/hyperlink" Target="https://www.boliga.dk/maegler/25114" TargetMode="External"/><Relationship Id="rId32" Type="http://schemas.openxmlformats.org/officeDocument/2006/relationships/hyperlink" Target="https://www.boliga.dk/maegler/26646" TargetMode="External"/><Relationship Id="rId37" Type="http://schemas.openxmlformats.org/officeDocument/2006/relationships/hyperlink" Target="https://www.boliga.dk/maegler/28450" TargetMode="External"/><Relationship Id="rId40" Type="http://schemas.openxmlformats.org/officeDocument/2006/relationships/hyperlink" Target="https://www.boliga.dk/maegler/27105" TargetMode="External"/><Relationship Id="rId45" Type="http://schemas.openxmlformats.org/officeDocument/2006/relationships/hyperlink" Target="https://www.boliga.dk/maegler/26679" TargetMode="External"/><Relationship Id="rId5" Type="http://schemas.openxmlformats.org/officeDocument/2006/relationships/hyperlink" Target="https://www.boliga.dk/maegler/22828" TargetMode="External"/><Relationship Id="rId15" Type="http://schemas.openxmlformats.org/officeDocument/2006/relationships/hyperlink" Target="https://www.boliga.dk/maegler/25103" TargetMode="External"/><Relationship Id="rId23" Type="http://schemas.openxmlformats.org/officeDocument/2006/relationships/hyperlink" Target="https://www.boliga.dk/maegler/25113" TargetMode="External"/><Relationship Id="rId28" Type="http://schemas.openxmlformats.org/officeDocument/2006/relationships/hyperlink" Target="https://www.boliga.dk/maegler/27106" TargetMode="External"/><Relationship Id="rId36" Type="http://schemas.openxmlformats.org/officeDocument/2006/relationships/hyperlink" Target="https://www.boliga.dk/maegler/26949" TargetMode="External"/><Relationship Id="rId49" Type="http://schemas.openxmlformats.org/officeDocument/2006/relationships/hyperlink" Target="https://www.estate.dk/ejendomsmaeglere/nordsjaelland/estate-raageleje-og-tisvildeleje" TargetMode="External"/><Relationship Id="rId10" Type="http://schemas.openxmlformats.org/officeDocument/2006/relationships/hyperlink" Target="https://www.boliga.dk/maegler/25171" TargetMode="External"/><Relationship Id="rId19" Type="http://schemas.openxmlformats.org/officeDocument/2006/relationships/hyperlink" Target="https://www.boliga.dk/maegler/25617" TargetMode="External"/><Relationship Id="rId31" Type="http://schemas.openxmlformats.org/officeDocument/2006/relationships/hyperlink" Target="https://www.boliga.dk/maegler/27539" TargetMode="External"/><Relationship Id="rId44" Type="http://schemas.openxmlformats.org/officeDocument/2006/relationships/hyperlink" Target="https://www.boliga.dk/maegler/29000" TargetMode="External"/><Relationship Id="rId52" Type="http://schemas.openxmlformats.org/officeDocument/2006/relationships/hyperlink" Target="https://www.boliga.dk/maegler/29136" TargetMode="External"/><Relationship Id="rId4" Type="http://schemas.openxmlformats.org/officeDocument/2006/relationships/hyperlink" Target="https://www.boliga.dk/maegler/22905" TargetMode="External"/><Relationship Id="rId9" Type="http://schemas.openxmlformats.org/officeDocument/2006/relationships/hyperlink" Target="https://www.boliga.dk/maegler/25174" TargetMode="External"/><Relationship Id="rId14" Type="http://schemas.openxmlformats.org/officeDocument/2006/relationships/hyperlink" Target="https://www.boliga.dk/maegler/25163" TargetMode="External"/><Relationship Id="rId22" Type="http://schemas.openxmlformats.org/officeDocument/2006/relationships/hyperlink" Target="https://www.boliga.dk/maegler/25152" TargetMode="External"/><Relationship Id="rId27" Type="http://schemas.openxmlformats.org/officeDocument/2006/relationships/hyperlink" Target="https://www.boliga.dk/maegler/25065" TargetMode="External"/><Relationship Id="rId30" Type="http://schemas.openxmlformats.org/officeDocument/2006/relationships/hyperlink" Target="https://www.boliga.dk/maegler/25117" TargetMode="External"/><Relationship Id="rId35" Type="http://schemas.openxmlformats.org/officeDocument/2006/relationships/hyperlink" Target="https://www.boliga.dk/maegler/25109" TargetMode="External"/><Relationship Id="rId43" Type="http://schemas.openxmlformats.org/officeDocument/2006/relationships/hyperlink" Target="https://www.boliga.dk/maegler/28996" TargetMode="External"/><Relationship Id="rId48" Type="http://schemas.openxmlformats.org/officeDocument/2006/relationships/hyperlink" Target="mailto:3220@estate.dk" TargetMode="External"/><Relationship Id="rId8" Type="http://schemas.openxmlformats.org/officeDocument/2006/relationships/hyperlink" Target="https://www.boliga.dk/maegler/25402" TargetMode="External"/><Relationship Id="rId51" Type="http://schemas.openxmlformats.org/officeDocument/2006/relationships/hyperlink" Target="https://www.estate.dk/ejendomsmaeglere/koebenhavn/estate-islands-brygge?utm_medium=organic&amp;utm_source=google&amp;utm_campaign=gmb&amp;utm_content=983079" TargetMode="External"/><Relationship Id="rId3" Type="http://schemas.openxmlformats.org/officeDocument/2006/relationships/hyperlink" Target="https://www.boliga.dk/maegler/25130" TargetMode="External"/><Relationship Id="rId12" Type="http://schemas.openxmlformats.org/officeDocument/2006/relationships/hyperlink" Target="https://www.boliga.dk/maegler/25165" TargetMode="External"/><Relationship Id="rId17" Type="http://schemas.openxmlformats.org/officeDocument/2006/relationships/hyperlink" Target="https://www.boliga.dk/maegler/25149" TargetMode="External"/><Relationship Id="rId25" Type="http://schemas.openxmlformats.org/officeDocument/2006/relationships/hyperlink" Target="https://www.boliga.dk/maegler/23843" TargetMode="External"/><Relationship Id="rId33" Type="http://schemas.openxmlformats.org/officeDocument/2006/relationships/hyperlink" Target="https://www.boliga.dk/maegler/25100" TargetMode="External"/><Relationship Id="rId38" Type="http://schemas.openxmlformats.org/officeDocument/2006/relationships/hyperlink" Target="https://www.boliga.dk/maegler/25167" TargetMode="External"/><Relationship Id="rId46" Type="http://schemas.openxmlformats.org/officeDocument/2006/relationships/hyperlink" Target="https://www.boliga.dk/maegler/25267" TargetMode="External"/><Relationship Id="rId20" Type="http://schemas.openxmlformats.org/officeDocument/2006/relationships/hyperlink" Target="https://www.boliga.dk/maegler/25150" TargetMode="External"/><Relationship Id="rId41" Type="http://schemas.openxmlformats.org/officeDocument/2006/relationships/hyperlink" Target="https://www.boliga.dk/maegler/25123" TargetMode="External"/><Relationship Id="rId1" Type="http://schemas.openxmlformats.org/officeDocument/2006/relationships/hyperlink" Target="https://www.boliga.dk/maegler/440" TargetMode="External"/><Relationship Id="rId6" Type="http://schemas.openxmlformats.org/officeDocument/2006/relationships/hyperlink" Target="https://www.boliga.dk/maegler/2721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iga.dk/maegler/21550" TargetMode="External"/><Relationship Id="rId18" Type="http://schemas.openxmlformats.org/officeDocument/2006/relationships/hyperlink" Target="https://www.boliga.dk/maegler/747" TargetMode="External"/><Relationship Id="rId26" Type="http://schemas.openxmlformats.org/officeDocument/2006/relationships/hyperlink" Target="https://www.boliga.dk/maegler/17514" TargetMode="External"/><Relationship Id="rId39" Type="http://schemas.openxmlformats.org/officeDocument/2006/relationships/hyperlink" Target="https://www.boliga.dk/maegler/397" TargetMode="External"/><Relationship Id="rId21" Type="http://schemas.openxmlformats.org/officeDocument/2006/relationships/hyperlink" Target="https://www.boliga.dk/maegler/17488" TargetMode="External"/><Relationship Id="rId34" Type="http://schemas.openxmlformats.org/officeDocument/2006/relationships/hyperlink" Target="https://www.boliga.dk/maegler/23511" TargetMode="External"/><Relationship Id="rId42" Type="http://schemas.openxmlformats.org/officeDocument/2006/relationships/hyperlink" Target="https://www.boliga.dk/maegler/894" TargetMode="External"/><Relationship Id="rId47" Type="http://schemas.openxmlformats.org/officeDocument/2006/relationships/hyperlink" Target="https://www.boliga.dk/maegler/18044" TargetMode="External"/><Relationship Id="rId50" Type="http://schemas.openxmlformats.org/officeDocument/2006/relationships/hyperlink" Target="https://www.boliga.dk/maegler/1025" TargetMode="External"/><Relationship Id="rId55" Type="http://schemas.openxmlformats.org/officeDocument/2006/relationships/hyperlink" Target="https://www.boliga.dk/maegler/29141" TargetMode="External"/><Relationship Id="rId7" Type="http://schemas.openxmlformats.org/officeDocument/2006/relationships/hyperlink" Target="https://www.boliga.dk/maegler/21845" TargetMode="External"/><Relationship Id="rId2" Type="http://schemas.openxmlformats.org/officeDocument/2006/relationships/hyperlink" Target="https://www.boliga.dk/maegler/492" TargetMode="External"/><Relationship Id="rId16" Type="http://schemas.openxmlformats.org/officeDocument/2006/relationships/hyperlink" Target="https://www.boliga.dk/maegler/246" TargetMode="External"/><Relationship Id="rId29" Type="http://schemas.openxmlformats.org/officeDocument/2006/relationships/hyperlink" Target="https://www.boliga.dk/maegler/368" TargetMode="External"/><Relationship Id="rId11" Type="http://schemas.openxmlformats.org/officeDocument/2006/relationships/hyperlink" Target="https://www.boliga.dk/maegler/19356" TargetMode="External"/><Relationship Id="rId24" Type="http://schemas.openxmlformats.org/officeDocument/2006/relationships/hyperlink" Target="https://www.boliga.dk/maegler/313" TargetMode="External"/><Relationship Id="rId32" Type="http://schemas.openxmlformats.org/officeDocument/2006/relationships/hyperlink" Target="https://www.boliga.dk/maegler/25521" TargetMode="External"/><Relationship Id="rId37" Type="http://schemas.openxmlformats.org/officeDocument/2006/relationships/hyperlink" Target="https://www.boliga.dk/maegler/413" TargetMode="External"/><Relationship Id="rId40" Type="http://schemas.openxmlformats.org/officeDocument/2006/relationships/hyperlink" Target="https://www.boliga.dk/maegler/701" TargetMode="External"/><Relationship Id="rId45" Type="http://schemas.openxmlformats.org/officeDocument/2006/relationships/hyperlink" Target="https://www.boliga.dk/maegler/17486" TargetMode="External"/><Relationship Id="rId53" Type="http://schemas.openxmlformats.org/officeDocument/2006/relationships/hyperlink" Target="mailto:1799@nybolig.dk" TargetMode="External"/><Relationship Id="rId5" Type="http://schemas.openxmlformats.org/officeDocument/2006/relationships/hyperlink" Target="https://www.boliga.dk/maegler/432" TargetMode="External"/><Relationship Id="rId10" Type="http://schemas.openxmlformats.org/officeDocument/2006/relationships/hyperlink" Target="https://www.boliga.dk/maegler/948" TargetMode="External"/><Relationship Id="rId19" Type="http://schemas.openxmlformats.org/officeDocument/2006/relationships/hyperlink" Target="https://www.boliga.dk/maegler/47" TargetMode="External"/><Relationship Id="rId31" Type="http://schemas.openxmlformats.org/officeDocument/2006/relationships/hyperlink" Target="https://www.boliga.dk/maegler/660" TargetMode="External"/><Relationship Id="rId44" Type="http://schemas.openxmlformats.org/officeDocument/2006/relationships/hyperlink" Target="https://www.boliga.dk/maegler/965" TargetMode="External"/><Relationship Id="rId52" Type="http://schemas.openxmlformats.org/officeDocument/2006/relationships/hyperlink" Target="https://www.boliga.dk/maegler/438" TargetMode="External"/><Relationship Id="rId4" Type="http://schemas.openxmlformats.org/officeDocument/2006/relationships/hyperlink" Target="https://www.boliga.dk/maegler/547" TargetMode="External"/><Relationship Id="rId9" Type="http://schemas.openxmlformats.org/officeDocument/2006/relationships/hyperlink" Target="https://www.boliga.dk/maegler/772" TargetMode="External"/><Relationship Id="rId14" Type="http://schemas.openxmlformats.org/officeDocument/2006/relationships/hyperlink" Target="https://www.boliga.dk/maegler/247" TargetMode="External"/><Relationship Id="rId22" Type="http://schemas.openxmlformats.org/officeDocument/2006/relationships/hyperlink" Target="https://www.boliga.dk/maegler/102" TargetMode="External"/><Relationship Id="rId27" Type="http://schemas.openxmlformats.org/officeDocument/2006/relationships/hyperlink" Target="https://www.boliga.dk/maegler/732" TargetMode="External"/><Relationship Id="rId30" Type="http://schemas.openxmlformats.org/officeDocument/2006/relationships/hyperlink" Target="https://www.boliga.dk/maegler/488" TargetMode="External"/><Relationship Id="rId35" Type="http://schemas.openxmlformats.org/officeDocument/2006/relationships/hyperlink" Target="https://www.boliga.dk/maegler/20780" TargetMode="External"/><Relationship Id="rId43" Type="http://schemas.openxmlformats.org/officeDocument/2006/relationships/hyperlink" Target="https://www.boliga.dk/maegler/108" TargetMode="External"/><Relationship Id="rId48" Type="http://schemas.openxmlformats.org/officeDocument/2006/relationships/hyperlink" Target="https://www.boliga.dk/maegler/786" TargetMode="External"/><Relationship Id="rId8" Type="http://schemas.openxmlformats.org/officeDocument/2006/relationships/hyperlink" Target="https://www.boliga.dk/maegler/856" TargetMode="External"/><Relationship Id="rId51" Type="http://schemas.openxmlformats.org/officeDocument/2006/relationships/hyperlink" Target="mailto:aha@nybolig.dk" TargetMode="External"/><Relationship Id="rId3" Type="http://schemas.openxmlformats.org/officeDocument/2006/relationships/hyperlink" Target="https://www.boliga.dk/maegler/17487" TargetMode="External"/><Relationship Id="rId12" Type="http://schemas.openxmlformats.org/officeDocument/2006/relationships/hyperlink" Target="https://www.boliga.dk/maegler/603" TargetMode="External"/><Relationship Id="rId17" Type="http://schemas.openxmlformats.org/officeDocument/2006/relationships/hyperlink" Target="https://www.boliga.dk/maegler/724" TargetMode="External"/><Relationship Id="rId25" Type="http://schemas.openxmlformats.org/officeDocument/2006/relationships/hyperlink" Target="https://www.boliga.dk/maegler/558" TargetMode="External"/><Relationship Id="rId33" Type="http://schemas.openxmlformats.org/officeDocument/2006/relationships/hyperlink" Target="https://www.boliga.dk/maegler/23473" TargetMode="External"/><Relationship Id="rId38" Type="http://schemas.openxmlformats.org/officeDocument/2006/relationships/hyperlink" Target="https://www.boliga.dk/maegler/680" TargetMode="External"/><Relationship Id="rId46" Type="http://schemas.openxmlformats.org/officeDocument/2006/relationships/hyperlink" Target="https://www.boliga.dk/maegler/901" TargetMode="External"/><Relationship Id="rId20" Type="http://schemas.openxmlformats.org/officeDocument/2006/relationships/hyperlink" Target="https://www.boliga.dk/maegler/713" TargetMode="External"/><Relationship Id="rId41" Type="http://schemas.openxmlformats.org/officeDocument/2006/relationships/hyperlink" Target="https://www.boliga.dk/maegler/570" TargetMode="External"/><Relationship Id="rId54" Type="http://schemas.openxmlformats.org/officeDocument/2006/relationships/hyperlink" Target="https://www.boliga.dk/maegler/29123" TargetMode="External"/><Relationship Id="rId1" Type="http://schemas.openxmlformats.org/officeDocument/2006/relationships/hyperlink" Target="https://www.boliga.dk/maegler/17489" TargetMode="External"/><Relationship Id="rId6" Type="http://schemas.openxmlformats.org/officeDocument/2006/relationships/hyperlink" Target="https://www.boliga.dk/maegler/1017" TargetMode="External"/><Relationship Id="rId15" Type="http://schemas.openxmlformats.org/officeDocument/2006/relationships/hyperlink" Target="https://www.boliga.dk/maegler/26369" TargetMode="External"/><Relationship Id="rId23" Type="http://schemas.openxmlformats.org/officeDocument/2006/relationships/hyperlink" Target="https://www.boliga.dk/maegler/154" TargetMode="External"/><Relationship Id="rId28" Type="http://schemas.openxmlformats.org/officeDocument/2006/relationships/hyperlink" Target="https://www.boliga.dk/maegler/834" TargetMode="External"/><Relationship Id="rId36" Type="http://schemas.openxmlformats.org/officeDocument/2006/relationships/hyperlink" Target="https://www.boliga.dk/maegler/29025" TargetMode="External"/><Relationship Id="rId49" Type="http://schemas.openxmlformats.org/officeDocument/2006/relationships/hyperlink" Target="https://www.boliga.dk/maegler/29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2"/>
  <sheetViews>
    <sheetView workbookViewId="0"/>
  </sheetViews>
  <sheetFormatPr defaultColWidth="12.61328125" defaultRowHeight="15.75" customHeight="1"/>
  <cols>
    <col min="5" max="5" width="19.3828125" customWidth="1"/>
  </cols>
  <sheetData>
    <row r="1" spans="1:5" ht="15.75" customHeight="1">
      <c r="B1" s="1" t="s">
        <v>0</v>
      </c>
      <c r="C1" s="1" t="s">
        <v>1</v>
      </c>
      <c r="D1" s="1" t="s">
        <v>2</v>
      </c>
    </row>
    <row r="2" spans="1:5" ht="15.75" customHeight="1">
      <c r="A2" s="2" t="e">
        <f>#REF!</f>
        <v>#REF!</v>
      </c>
      <c r="B2" s="3" t="e">
        <f>#REF!</f>
        <v>#REF!</v>
      </c>
      <c r="C2" s="3" t="e">
        <f>#REF!</f>
        <v>#REF!</v>
      </c>
      <c r="D2" s="3" t="e">
        <f>#REF!</f>
        <v>#REF!</v>
      </c>
    </row>
    <row r="3" spans="1:5" ht="15.75" customHeight="1">
      <c r="A3" s="2" t="e">
        <f>#REF!</f>
        <v>#REF!</v>
      </c>
      <c r="B3" s="4" t="e">
        <f>#REF!</f>
        <v>#REF!</v>
      </c>
      <c r="C3" s="4" t="e">
        <f>#REF!</f>
        <v>#REF!</v>
      </c>
      <c r="D3" s="4" t="e">
        <f>#REF!</f>
        <v>#REF!</v>
      </c>
    </row>
    <row r="4" spans="1:5" ht="15.75" customHeight="1">
      <c r="A4" s="2" t="e">
        <f>#REF!</f>
        <v>#REF!</v>
      </c>
      <c r="B4" s="5" t="e">
        <f>#REF!</f>
        <v>#REF!</v>
      </c>
      <c r="C4" s="5" t="e">
        <f>#REF!</f>
        <v>#REF!</v>
      </c>
      <c r="D4" s="5" t="e">
        <f>#REF!</f>
        <v>#REF!</v>
      </c>
    </row>
    <row r="5" spans="1:5" ht="15.75" customHeight="1">
      <c r="C5" s="2" t="e">
        <f>#REF!</f>
        <v>#REF!</v>
      </c>
      <c r="D5" s="2" t="e">
        <f>#REF!</f>
        <v>#REF!</v>
      </c>
      <c r="E5" s="6" t="s">
        <v>3</v>
      </c>
    </row>
    <row r="6" spans="1:5" ht="15.75" customHeight="1">
      <c r="A6" s="2" t="e">
        <f>#REF!</f>
        <v>#REF!</v>
      </c>
      <c r="B6" s="7" t="e">
        <f>#REF!</f>
        <v>#REF!</v>
      </c>
      <c r="C6" s="7" t="e">
        <f>#REF!</f>
        <v>#REF!</v>
      </c>
      <c r="D6" s="7" t="e">
        <f>#REF!</f>
        <v>#REF!</v>
      </c>
      <c r="E6" s="8" t="e">
        <f>SUM(B6:D6)/SUM(B10:D10)</f>
        <v>#REF!</v>
      </c>
    </row>
    <row r="7" spans="1:5" ht="15.75" customHeight="1">
      <c r="A7" s="2" t="e">
        <f>#REF!</f>
        <v>#REF!</v>
      </c>
      <c r="B7" s="7" t="e">
        <f>#REF!</f>
        <v>#REF!</v>
      </c>
      <c r="C7" s="7" t="e">
        <f>#REF!</f>
        <v>#REF!</v>
      </c>
      <c r="D7" s="7" t="e">
        <f>#REF!</f>
        <v>#REF!</v>
      </c>
      <c r="E7" s="9" t="e">
        <f>SUM(B7:D7)/SUM(B10:D10)</f>
        <v>#REF!</v>
      </c>
    </row>
    <row r="8" spans="1:5" ht="15.75" customHeight="1">
      <c r="A8" s="2" t="e">
        <f>#REF!</f>
        <v>#REF!</v>
      </c>
      <c r="B8" s="7" t="e">
        <f>#REF!</f>
        <v>#REF!</v>
      </c>
      <c r="C8" s="7" t="e">
        <f>#REF!</f>
        <v>#REF!</v>
      </c>
      <c r="D8" s="7" t="e">
        <f>#REF!</f>
        <v>#REF!</v>
      </c>
      <c r="E8" s="10" t="e">
        <f>SUM(B8:D8)/SUM(B10:D10)</f>
        <v>#REF!</v>
      </c>
    </row>
    <row r="9" spans="1:5" ht="15.75" customHeight="1">
      <c r="A9" s="1" t="e">
        <f>#REF!</f>
        <v>#REF!</v>
      </c>
      <c r="B9" s="1" t="e">
        <f>#REF!</f>
        <v>#REF!</v>
      </c>
      <c r="C9" s="2" t="e">
        <f>#REF!</f>
        <v>#REF!</v>
      </c>
      <c r="D9" s="2" t="e">
        <f>#REF!</f>
        <v>#REF!</v>
      </c>
      <c r="E9" s="2" t="e">
        <f t="shared" ref="E9:E10" si="0">SUM(B9:D9)</f>
        <v>#REF!</v>
      </c>
    </row>
    <row r="10" spans="1:5" ht="15.75" customHeight="1">
      <c r="A10" s="1" t="s">
        <v>4</v>
      </c>
      <c r="B10" s="1">
        <v>60</v>
      </c>
      <c r="C10" s="1">
        <v>91</v>
      </c>
      <c r="D10" s="1">
        <v>148</v>
      </c>
      <c r="E10" s="2">
        <f t="shared" si="0"/>
        <v>299</v>
      </c>
    </row>
    <row r="17" spans="1:2" ht="15.75" customHeight="1">
      <c r="A17" s="11" t="s">
        <v>5</v>
      </c>
    </row>
    <row r="18" spans="1:2" ht="15.75" customHeight="1">
      <c r="A18" s="12" t="s">
        <v>6</v>
      </c>
    </row>
    <row r="19" spans="1:2">
      <c r="A19" s="13" t="s">
        <v>7</v>
      </c>
      <c r="B19" s="14">
        <v>1201</v>
      </c>
    </row>
    <row r="20" spans="1:2">
      <c r="A20" s="13" t="s">
        <v>8</v>
      </c>
      <c r="B20" s="14">
        <v>1202</v>
      </c>
    </row>
    <row r="21" spans="1:2">
      <c r="A21" s="15" t="s">
        <v>9</v>
      </c>
      <c r="B21" s="14">
        <v>1203</v>
      </c>
    </row>
    <row r="22" spans="1:2">
      <c r="A22" s="15" t="s">
        <v>10</v>
      </c>
      <c r="B22" s="14">
        <v>1204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G1000"/>
  <sheetViews>
    <sheetView tabSelected="1" workbookViewId="0">
      <pane xSplit="2" topLeftCell="G1" activePane="topRight" state="frozen"/>
      <selection pane="topRight" activeCell="P1" sqref="P1"/>
    </sheetView>
  </sheetViews>
  <sheetFormatPr defaultColWidth="12.61328125" defaultRowHeight="15.75" customHeight="1"/>
  <cols>
    <col min="2" max="2" width="24.765625" customWidth="1"/>
    <col min="3" max="3" width="11.4609375" customWidth="1"/>
    <col min="4" max="4" width="20.84375" customWidth="1"/>
    <col min="5" max="5" width="19.3828125" customWidth="1"/>
    <col min="6" max="6" width="42.15234375" customWidth="1"/>
    <col min="7" max="7" width="18.84375" customWidth="1"/>
    <col min="22" max="22" width="25.15234375" customWidth="1"/>
  </cols>
  <sheetData>
    <row r="1" spans="1:33" ht="15.75" customHeight="1">
      <c r="A1" s="16" t="s">
        <v>11</v>
      </c>
      <c r="B1" s="16" t="s">
        <v>12</v>
      </c>
      <c r="C1" s="17" t="s">
        <v>13</v>
      </c>
      <c r="D1" s="17" t="s">
        <v>14</v>
      </c>
      <c r="E1" s="18" t="s">
        <v>15</v>
      </c>
      <c r="F1" s="18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21</v>
      </c>
      <c r="L1" s="16" t="s">
        <v>22</v>
      </c>
      <c r="M1" s="16" t="s">
        <v>23</v>
      </c>
      <c r="N1" s="16" t="s">
        <v>24</v>
      </c>
      <c r="O1" s="19" t="s">
        <v>25</v>
      </c>
      <c r="P1" s="16" t="s">
        <v>26</v>
      </c>
      <c r="Q1" s="16" t="s">
        <v>27</v>
      </c>
      <c r="R1" s="16" t="s">
        <v>28</v>
      </c>
      <c r="S1" s="16" t="s">
        <v>29</v>
      </c>
      <c r="T1" s="16" t="s">
        <v>30</v>
      </c>
      <c r="U1" s="16" t="s">
        <v>31</v>
      </c>
      <c r="V1" s="19" t="s">
        <v>32</v>
      </c>
      <c r="W1" s="16" t="s">
        <v>33</v>
      </c>
      <c r="X1" s="20" t="s">
        <v>34</v>
      </c>
      <c r="Y1" s="21" t="s">
        <v>35</v>
      </c>
      <c r="Z1" s="22" t="s">
        <v>36</v>
      </c>
      <c r="AA1" s="21" t="s">
        <v>37</v>
      </c>
      <c r="AB1" s="23" t="s">
        <v>38</v>
      </c>
      <c r="AC1" s="23" t="s">
        <v>39</v>
      </c>
      <c r="AD1" s="24" t="s">
        <v>40</v>
      </c>
      <c r="AE1" s="24" t="s">
        <v>36</v>
      </c>
      <c r="AF1" s="24"/>
      <c r="AG1" s="24"/>
    </row>
    <row r="2" spans="1:33" ht="15.75" customHeight="1">
      <c r="A2" s="2" t="str">
        <f ca="1">IFERROR(__xludf.DUMMYFUNCTION("FILTER('MG-Premium-Krahn'!A2:AE61,'MG-Premium-Krahn'!Y2:Y61=""Ja"")"),"Christian")</f>
        <v>Christian</v>
      </c>
      <c r="B2" s="2" t="str">
        <f ca="1">IFERROR(__xludf.DUMMYFUNCTION("""COMPUTED_VALUE"""),"Nybolig Frederikshavn")</f>
        <v>Nybolig Frederikshavn</v>
      </c>
      <c r="C2" s="26"/>
      <c r="D2" s="26" t="str">
        <f ca="1">IFERROR(__xludf.DUMMYFUNCTION("""COMPUTED_VALUE"""),"MG-JY: 2.499,-")</f>
        <v>MG-JY: 2.499,-</v>
      </c>
      <c r="E2" s="26">
        <f ca="1">IFERROR(__xludf.DUMMYFUNCTION("""COMPUTED_VALUE"""),1201)</f>
        <v>1201</v>
      </c>
      <c r="F2" s="26"/>
      <c r="G2" s="2"/>
      <c r="H2" s="2"/>
      <c r="I2" s="2" t="str">
        <f ca="1">IFERROR(__xludf.DUMMYFUNCTION("""COMPUTED_VALUE"""),"Midtpunkt 58")</f>
        <v>Midtpunkt 58</v>
      </c>
      <c r="J2" s="2">
        <f ca="1">IFERROR(__xludf.DUMMYFUNCTION("""COMPUTED_VALUE"""),9900)</f>
        <v>9900</v>
      </c>
      <c r="K2" s="2" t="str">
        <f ca="1">IFERROR(__xludf.DUMMYFUNCTION("""COMPUTED_VALUE"""),"Frederikshavn")</f>
        <v>Frederikshavn</v>
      </c>
      <c r="L2" s="2" t="str">
        <f ca="1">IFERROR(__xludf.DUMMYFUNCTION("""COMPUTED_VALUE"""),"Frederikshavn")</f>
        <v>Frederikshavn</v>
      </c>
      <c r="M2" s="2" t="str">
        <f ca="1">IFERROR(__xludf.DUMMYFUNCTION("""COMPUTED_VALUE"""),"Nordjylland")</f>
        <v>Nordjylland</v>
      </c>
      <c r="N2" s="2" t="str">
        <f ca="1">IFERROR(__xludf.DUMMYFUNCTION("""COMPUTED_VALUE"""),"Nordjylland")</f>
        <v>Nordjylland</v>
      </c>
      <c r="O2" s="2" t="str">
        <f ca="1">IFERROR(__xludf.DUMMYFUNCTION("""COMPUTED_VALUE"""),"9842 6700")</f>
        <v>9842 6700</v>
      </c>
      <c r="P2" s="2" t="str">
        <f ca="1">IFERROR(__xludf.DUMMYFUNCTION("""COMPUTED_VALUE"""),"9900@nybolig.dk")</f>
        <v>9900@nybolig.dk</v>
      </c>
      <c r="Q2" s="27" t="str">
        <f ca="1">IFERROR(__xludf.DUMMYFUNCTION("""COMPUTED_VALUE"""),"https://www.boliga.dk/maegler/427")</f>
        <v>https://www.boliga.dk/maegler/427</v>
      </c>
      <c r="R2" s="2" t="str">
        <f ca="1">IFERROR(__xludf.DUMMYFUNCTION("""COMPUTED_VALUE"""),"9900, 9970, 9981")</f>
        <v>9900, 9970, 9981</v>
      </c>
      <c r="S2" s="28">
        <f ca="1">IFERROR(__xludf.DUMMYFUNCTION("""COMPUTED_VALUE"""),43712)</f>
        <v>43712</v>
      </c>
      <c r="T2" s="29">
        <f ca="1">IFERROR(__xludf.DUMMYFUNCTION("""COMPUTED_VALUE"""),43951)</f>
        <v>43951</v>
      </c>
      <c r="U2" s="2">
        <f ca="1">IFERROR(__xludf.DUMMYFUNCTION("""COMPUTED_VALUE"""),58)</f>
        <v>58</v>
      </c>
      <c r="V2" s="2" t="str">
        <f ca="1">IFERROR(__xludf.DUMMYFUNCTION("""COMPUTED_VALUE"""),"9900, 9970, 9982, 9870, 9940, 9981")</f>
        <v>9900, 9970, 9982, 9870, 9940, 9981</v>
      </c>
      <c r="W2" s="2">
        <f ca="1">IFERROR(__xludf.DUMMYFUNCTION("""COMPUTED_VALUE"""),24)</f>
        <v>24</v>
      </c>
      <c r="X2" s="2" t="str">
        <f ca="1">IFERROR(__xludf.DUMMYFUNCTION("""COMPUTED_VALUE"""),"9981, 9900, 9970")</f>
        <v>9981, 9900, 9970</v>
      </c>
      <c r="Y2" s="2" t="str">
        <f ca="1">IFERROR(__xludf.DUMMYFUNCTION("""COMPUTED_VALUE"""),"ja")</f>
        <v>ja</v>
      </c>
      <c r="Z2" s="2" t="str">
        <f ca="1">IFERROR(__xludf.DUMMYFUNCTION("""COMPUTED_VALUE"""),"vil lige vende den med daniel - Daniel har lagt sig med corona - Carsten har sagt god, vil lige kigge på betingelserne igen og vende tilbage med ok")</f>
        <v>vil lige vende den med daniel - Daniel har lagt sig med corona - Carsten har sagt god, vil lige kigge på betingelserne igen og vende tilbage med ok</v>
      </c>
      <c r="AA2" s="25"/>
      <c r="AB2" s="2" t="str">
        <f ca="1">IFERROR(__xludf.DUMMYFUNCTION("""COMPUTED_VALUE"""),"x")</f>
        <v>x</v>
      </c>
      <c r="AC2" s="2"/>
      <c r="AD2" s="2"/>
      <c r="AE2" s="2"/>
    </row>
    <row r="3" spans="1:33" ht="15.75" customHeight="1">
      <c r="A3" s="2" t="str">
        <f ca="1">IFERROR(__xludf.DUMMYFUNCTION("""COMPUTED_VALUE"""),"Christian")</f>
        <v>Christian</v>
      </c>
      <c r="B3" s="2" t="str">
        <f ca="1">IFERROR(__xludf.DUMMYFUNCTION("""COMPUTED_VALUE"""),"Westergaard Bolig")</f>
        <v>Westergaard Bolig</v>
      </c>
      <c r="C3" s="26"/>
      <c r="D3" s="26" t="str">
        <f ca="1">IFERROR(__xludf.DUMMYFUNCTION("""COMPUTED_VALUE"""),"MG-JY: 2.499,-")</f>
        <v>MG-JY: 2.499,-</v>
      </c>
      <c r="E3" s="26">
        <f ca="1">IFERROR(__xludf.DUMMYFUNCTION("""COMPUTED_VALUE"""),1201)</f>
        <v>1201</v>
      </c>
      <c r="F3" s="26"/>
      <c r="G3" s="2"/>
      <c r="H3" s="2"/>
      <c r="I3" s="2" t="str">
        <f ca="1">IFERROR(__xludf.DUMMYFUNCTION("""COMPUTED_VALUE"""),"Bredgade 76")</f>
        <v>Bredgade 76</v>
      </c>
      <c r="J3" s="2">
        <f ca="1">IFERROR(__xludf.DUMMYFUNCTION("""COMPUTED_VALUE"""),9700)</f>
        <v>9700</v>
      </c>
      <c r="K3" s="2" t="str">
        <f ca="1">IFERROR(__xludf.DUMMYFUNCTION("""COMPUTED_VALUE"""),"Brønderslev")</f>
        <v>Brønderslev</v>
      </c>
      <c r="L3" s="2" t="str">
        <f ca="1">IFERROR(__xludf.DUMMYFUNCTION("""COMPUTED_VALUE"""),"Brønderslev")</f>
        <v>Brønderslev</v>
      </c>
      <c r="M3" s="2" t="str">
        <f ca="1">IFERROR(__xludf.DUMMYFUNCTION("""COMPUTED_VALUE"""),"Nordjylland")</f>
        <v>Nordjylland</v>
      </c>
      <c r="N3" s="2" t="str">
        <f ca="1">IFERROR(__xludf.DUMMYFUNCTION("""COMPUTED_VALUE"""),"Nordjylland")</f>
        <v>Nordjylland</v>
      </c>
      <c r="O3" s="2">
        <f ca="1">IFERROR(__xludf.DUMMYFUNCTION("""COMPUTED_VALUE"""),20301150)</f>
        <v>20301150</v>
      </c>
      <c r="P3" s="2" t="str">
        <f ca="1">IFERROR(__xludf.DUMMYFUNCTION("""COMPUTED_VALUE"""),"kjeld@westergaardbolig.dk")</f>
        <v>kjeld@westergaardbolig.dk</v>
      </c>
      <c r="Q3" s="27" t="str">
        <f ca="1">IFERROR(__xludf.DUMMYFUNCTION("""COMPUTED_VALUE"""),"https://www.boliga.dk/maegler/17981")</f>
        <v>https://www.boliga.dk/maegler/17981</v>
      </c>
      <c r="R3" s="2" t="str">
        <f ca="1">IFERROR(__xludf.DUMMYFUNCTION("""COMPUTED_VALUE"""),"9382, 9700, 9740")</f>
        <v>9382, 9700, 9740</v>
      </c>
      <c r="S3" s="29">
        <f ca="1">IFERROR(__xludf.DUMMYFUNCTION("""COMPUTED_VALUE"""),43712)</f>
        <v>43712</v>
      </c>
      <c r="T3" s="29">
        <f ca="1">IFERROR(__xludf.DUMMYFUNCTION("""COMPUTED_VALUE"""),43951)</f>
        <v>43951</v>
      </c>
      <c r="U3" s="2">
        <f ca="1">IFERROR(__xludf.DUMMYFUNCTION("""COMPUTED_VALUE"""),55)</f>
        <v>55</v>
      </c>
      <c r="V3" s="2" t="str">
        <f ca="1">IFERROR(__xludf.DUMMYFUNCTION("""COMPUTED_VALUE"""),"9200, 9320, 9400, 9480, 9352, 9382, 9750, 9700, 9381, 9760, 9740, 9850")</f>
        <v>9200, 9320, 9400, 9480, 9352, 9382, 9750, 9700, 9381, 9760, 9740, 9850</v>
      </c>
      <c r="W3" s="2">
        <f ca="1">IFERROR(__xludf.DUMMYFUNCTION("""COMPUTED_VALUE"""),44)</f>
        <v>44</v>
      </c>
      <c r="X3" s="2" t="str">
        <f ca="1">IFERROR(__xludf.DUMMYFUNCTION("""COMPUTED_VALUE"""),"9750, 9382, 9370, 9330, 9480, 9440, 9700, 9493, 9760, 9740, 9830")</f>
        <v>9750, 9382, 9370, 9330, 9480, 9440, 9700, 9493, 9760, 9740, 9830</v>
      </c>
      <c r="Y3" s="2" t="str">
        <f ca="1">IFERROR(__xludf.DUMMYFUNCTION("""COMPUTED_VALUE"""),"ja")</f>
        <v>ja</v>
      </c>
      <c r="Z3" s="2"/>
      <c r="AA3" s="25"/>
      <c r="AB3" s="2" t="str">
        <f ca="1">IFERROR(__xludf.DUMMYFUNCTION("""COMPUTED_VALUE"""),"x")</f>
        <v>x</v>
      </c>
      <c r="AC3" s="2" t="str">
        <f ca="1">IFERROR(__xludf.DUMMYFUNCTION("""COMPUTED_VALUE"""),"x")</f>
        <v>x</v>
      </c>
      <c r="AD3" s="2"/>
      <c r="AE3" s="2"/>
    </row>
    <row r="4" spans="1:33" ht="15.75" customHeight="1">
      <c r="A4" s="2" t="str">
        <f ca="1">IFERROR(__xludf.DUMMYFUNCTION("""COMPUTED_VALUE"""),"Christian")</f>
        <v>Christian</v>
      </c>
      <c r="B4" s="2" t="str">
        <f ca="1">IFERROR(__xludf.DUMMYFUNCTION("""COMPUTED_VALUE"""),"Nybolig Tjele")</f>
        <v>Nybolig Tjele</v>
      </c>
      <c r="C4" s="26"/>
      <c r="D4" s="26" t="str">
        <f ca="1">IFERROR(__xludf.DUMMYFUNCTION("""COMPUTED_VALUE"""),"MG-JY: 2.499,-")</f>
        <v>MG-JY: 2.499,-</v>
      </c>
      <c r="E4" s="26">
        <f ca="1">IFERROR(__xludf.DUMMYFUNCTION("""COMPUTED_VALUE"""),1201)</f>
        <v>1201</v>
      </c>
      <c r="F4" s="26"/>
      <c r="G4" s="2"/>
      <c r="H4" s="2"/>
      <c r="I4" s="2" t="str">
        <f ca="1">IFERROR(__xludf.DUMMYFUNCTION("""COMPUTED_VALUE"""),"Østergade 1, Ørum")</f>
        <v>Østergade 1, Ørum</v>
      </c>
      <c r="J4" s="2">
        <f ca="1">IFERROR(__xludf.DUMMYFUNCTION("""COMPUTED_VALUE"""),8830)</f>
        <v>8830</v>
      </c>
      <c r="K4" s="2" t="str">
        <f ca="1">IFERROR(__xludf.DUMMYFUNCTION("""COMPUTED_VALUE"""),"Tjele")</f>
        <v>Tjele</v>
      </c>
      <c r="L4" s="2" t="str">
        <f ca="1">IFERROR(__xludf.DUMMYFUNCTION("""COMPUTED_VALUE"""),"Viborg")</f>
        <v>Viborg</v>
      </c>
      <c r="M4" s="2" t="str">
        <f ca="1">IFERROR(__xludf.DUMMYFUNCTION("""COMPUTED_VALUE"""),"Vestjylland")</f>
        <v>Vestjylland</v>
      </c>
      <c r="N4" s="2" t="str">
        <f ca="1">IFERROR(__xludf.DUMMYFUNCTION("""COMPUTED_VALUE"""),"Midtjylland")</f>
        <v>Midtjylland</v>
      </c>
      <c r="O4" s="2" t="str">
        <f ca="1">IFERROR(__xludf.DUMMYFUNCTION("""COMPUTED_VALUE"""),"8665 2911")</f>
        <v>8665 2911</v>
      </c>
      <c r="P4" s="2" t="str">
        <f ca="1">IFERROR(__xludf.DUMMYFUNCTION("""COMPUTED_VALUE"""),"8830@nybolig.dk")</f>
        <v>8830@nybolig.dk</v>
      </c>
      <c r="Q4" s="27" t="str">
        <f ca="1">IFERROR(__xludf.DUMMYFUNCTION("""COMPUTED_VALUE"""),"https://www.boliga.dk/maegler/18064")</f>
        <v>https://www.boliga.dk/maegler/18064</v>
      </c>
      <c r="R4" s="2" t="str">
        <f ca="1">IFERROR(__xludf.DUMMYFUNCTION("""COMPUTED_VALUE"""),"8830, 8831, 8832, 9632, 8840, 7470")</f>
        <v>8830, 8831, 8832, 9632, 8840, 7470</v>
      </c>
      <c r="S4" s="28">
        <f ca="1">IFERROR(__xludf.DUMMYFUNCTION("""COMPUTED_VALUE"""),43803)</f>
        <v>43803</v>
      </c>
      <c r="T4" s="29">
        <f ca="1">IFERROR(__xludf.DUMMYFUNCTION("""COMPUTED_VALUE"""),43951)</f>
        <v>43951</v>
      </c>
      <c r="U4" s="2">
        <f ca="1">IFERROR(__xludf.DUMMYFUNCTION("""COMPUTED_VALUE"""),30)</f>
        <v>30</v>
      </c>
      <c r="V4" s="2" t="str">
        <f ca="1">IFERROR(__xludf.DUMMYFUNCTION("""COMPUTED_VALUE"""),"8800, 8830")</f>
        <v>8800, 8830</v>
      </c>
      <c r="W4" s="2">
        <f ca="1">IFERROR(__xludf.DUMMYFUNCTION("""COMPUTED_VALUE"""),8)</f>
        <v>8</v>
      </c>
      <c r="X4" s="2">
        <f ca="1">IFERROR(__xludf.DUMMYFUNCTION("""COMPUTED_VALUE"""),8830)</f>
        <v>8830</v>
      </c>
      <c r="Y4" s="2" t="str">
        <f ca="1">IFERROR(__xludf.DUMMYFUNCTION("""COMPUTED_VALUE"""),"ja")</f>
        <v>ja</v>
      </c>
      <c r="Z4" s="2" t="str">
        <f ca="1">IFERROR(__xludf.DUMMYFUNCTION("""COMPUTED_VALUE"""),"(del af Nybolig Viborg)")</f>
        <v>(del af Nybolig Viborg)</v>
      </c>
      <c r="AA4" s="25"/>
      <c r="AB4" s="2" t="str">
        <f ca="1">IFERROR(__xludf.DUMMYFUNCTION("""COMPUTED_VALUE"""),"x")</f>
        <v>x</v>
      </c>
      <c r="AC4" s="2"/>
      <c r="AD4" s="2"/>
      <c r="AE4" s="2"/>
    </row>
    <row r="5" spans="1:33" ht="15.75" customHeight="1">
      <c r="A5" s="2" t="str">
        <f ca="1">IFERROR(__xludf.DUMMYFUNCTION("""COMPUTED_VALUE"""),"Christian")</f>
        <v>Christian</v>
      </c>
      <c r="B5" s="2" t="str">
        <f ca="1">IFERROR(__xludf.DUMMYFUNCTION("""COMPUTED_VALUE"""),"Nybolig Viborg")</f>
        <v>Nybolig Viborg</v>
      </c>
      <c r="C5" s="26"/>
      <c r="D5" s="26" t="str">
        <f ca="1">IFERROR(__xludf.DUMMYFUNCTION("""COMPUTED_VALUE"""),"MG-JY: 2.499,-")</f>
        <v>MG-JY: 2.499,-</v>
      </c>
      <c r="E5" s="26">
        <f ca="1">IFERROR(__xludf.DUMMYFUNCTION("""COMPUTED_VALUE"""),1201)</f>
        <v>1201</v>
      </c>
      <c r="F5" s="26"/>
      <c r="G5" s="2"/>
      <c r="H5" s="2"/>
      <c r="I5" s="2" t="str">
        <f ca="1">IFERROR(__xludf.DUMMYFUNCTION("""COMPUTED_VALUE"""),"Toldboden 1, 6. sal")</f>
        <v>Toldboden 1, 6. sal</v>
      </c>
      <c r="J5" s="2">
        <f ca="1">IFERROR(__xludf.DUMMYFUNCTION("""COMPUTED_VALUE"""),8800)</f>
        <v>8800</v>
      </c>
      <c r="K5" s="2" t="str">
        <f ca="1">IFERROR(__xludf.DUMMYFUNCTION("""COMPUTED_VALUE"""),"Viborg")</f>
        <v>Viborg</v>
      </c>
      <c r="L5" s="2" t="str">
        <f ca="1">IFERROR(__xludf.DUMMYFUNCTION("""COMPUTED_VALUE"""),"Viborg")</f>
        <v>Viborg</v>
      </c>
      <c r="M5" s="2" t="str">
        <f ca="1">IFERROR(__xludf.DUMMYFUNCTION("""COMPUTED_VALUE"""),"Vestjylland")</f>
        <v>Vestjylland</v>
      </c>
      <c r="N5" s="2" t="str">
        <f ca="1">IFERROR(__xludf.DUMMYFUNCTION("""COMPUTED_VALUE"""),"Midtjylland")</f>
        <v>Midtjylland</v>
      </c>
      <c r="O5" s="2" t="str">
        <f ca="1">IFERROR(__xludf.DUMMYFUNCTION("""COMPUTED_VALUE"""),"8662 7188")</f>
        <v>8662 7188</v>
      </c>
      <c r="P5" s="2" t="str">
        <f ca="1">IFERROR(__xludf.DUMMYFUNCTION("""COMPUTED_VALUE"""),"8802@nybolig.dk")</f>
        <v>8802@nybolig.dk</v>
      </c>
      <c r="Q5" s="27" t="str">
        <f ca="1">IFERROR(__xludf.DUMMYFUNCTION("""COMPUTED_VALUE"""),"https://www.boliga.dk/maegler/1052")</f>
        <v>https://www.boliga.dk/maegler/1052</v>
      </c>
      <c r="R5" s="2" t="str">
        <f ca="1">IFERROR(__xludf.DUMMYFUNCTION("""COMPUTED_VALUE"""),"8830, 8831, 8832, 9632, 8840, 7470")</f>
        <v>8830, 8831, 8832, 9632, 8840, 7470</v>
      </c>
      <c r="S5" s="29">
        <f ca="1">IFERROR(__xludf.DUMMYFUNCTION("""COMPUTED_VALUE"""),43803)</f>
        <v>43803</v>
      </c>
      <c r="T5" s="29">
        <f ca="1">IFERROR(__xludf.DUMMYFUNCTION("""COMPUTED_VALUE"""),43951)</f>
        <v>43951</v>
      </c>
      <c r="U5" s="2">
        <f ca="1">IFERROR(__xludf.DUMMYFUNCTION("""COMPUTED_VALUE"""),130)</f>
        <v>130</v>
      </c>
      <c r="V5" s="2" t="str">
        <f ca="1">IFERROR(__xludf.DUMMYFUNCTION("""COMPUTED_VALUE"""),"7470, 7850, 7840, 8850, 8800, 8831, 7800, 8830, 8620, 8832, 9632")</f>
        <v>7470, 7850, 7840, 8850, 8800, 8831, 7800, 8830, 8620, 8832, 9632</v>
      </c>
      <c r="W5" s="2">
        <f ca="1">IFERROR(__xludf.DUMMYFUNCTION("""COMPUTED_VALUE"""),47)</f>
        <v>47</v>
      </c>
      <c r="X5" s="2" t="str">
        <f ca="1">IFERROR(__xludf.DUMMYFUNCTION("""COMPUTED_VALUE"""),"8832, 7470, 7800, 7840, 8831, 8800, 9632")</f>
        <v>8832, 7470, 7800, 7840, 8831, 8800, 9632</v>
      </c>
      <c r="Y5" s="2" t="str">
        <f ca="1">IFERROR(__xludf.DUMMYFUNCTION("""COMPUTED_VALUE"""),"ja")</f>
        <v>ja</v>
      </c>
      <c r="Z5" s="2"/>
      <c r="AA5" s="29"/>
      <c r="AB5" s="2" t="str">
        <f ca="1">IFERROR(__xludf.DUMMYFUNCTION("""COMPUTED_VALUE"""),"x")</f>
        <v>x</v>
      </c>
      <c r="AC5" s="2"/>
      <c r="AD5" s="2"/>
      <c r="AE5" s="2" t="str">
        <f ca="1">IFERROR(__xludf.DUMMYFUNCTION("""COMPUTED_VALUE"""),"højst sandsynligt")</f>
        <v>højst sandsynligt</v>
      </c>
    </row>
    <row r="6" spans="1:33" ht="15.75" customHeight="1">
      <c r="A6" s="2" t="str">
        <f ca="1">IFERROR(__xludf.DUMMYFUNCTION("""COMPUTED_VALUE"""),"Christian")</f>
        <v>Christian</v>
      </c>
      <c r="B6" s="2" t="str">
        <f ca="1">IFERROR(__xludf.DUMMYFUNCTION("""COMPUTED_VALUE"""),"Nybolig Padborg")</f>
        <v>Nybolig Padborg</v>
      </c>
      <c r="C6" s="26"/>
      <c r="D6" s="26" t="str">
        <f ca="1">IFERROR(__xludf.DUMMYFUNCTION("""COMPUTED_VALUE"""),"MG-JY: 2.499,-")</f>
        <v>MG-JY: 2.499,-</v>
      </c>
      <c r="E6" s="26">
        <f ca="1">IFERROR(__xludf.DUMMYFUNCTION("""COMPUTED_VALUE"""),1201)</f>
        <v>1201</v>
      </c>
      <c r="F6" s="26"/>
      <c r="G6" s="2"/>
      <c r="H6" s="2"/>
      <c r="I6" s="2" t="str">
        <f ca="1">IFERROR(__xludf.DUMMYFUNCTION("""COMPUTED_VALUE"""),"Torvegade 1")</f>
        <v>Torvegade 1</v>
      </c>
      <c r="J6" s="2">
        <f ca="1">IFERROR(__xludf.DUMMYFUNCTION("""COMPUTED_VALUE"""),6330)</f>
        <v>6330</v>
      </c>
      <c r="K6" s="2" t="str">
        <f ca="1">IFERROR(__xludf.DUMMYFUNCTION("""COMPUTED_VALUE"""),"Padborg")</f>
        <v>Padborg</v>
      </c>
      <c r="L6" s="2" t="str">
        <f ca="1">IFERROR(__xludf.DUMMYFUNCTION("""COMPUTED_VALUE"""),"Aabenraa")</f>
        <v>Aabenraa</v>
      </c>
      <c r="M6" s="2" t="str">
        <f ca="1">IFERROR(__xludf.DUMMYFUNCTION("""COMPUTED_VALUE"""),"Sydjylland")</f>
        <v>Sydjylland</v>
      </c>
      <c r="N6" s="2" t="str">
        <f ca="1">IFERROR(__xludf.DUMMYFUNCTION("""COMPUTED_VALUE"""),"Syddanmark")</f>
        <v>Syddanmark</v>
      </c>
      <c r="O6" s="2" t="str">
        <f ca="1">IFERROR(__xludf.DUMMYFUNCTION("""COMPUTED_VALUE"""),"7467 1902")</f>
        <v>7467 1902</v>
      </c>
      <c r="P6" s="2" t="str">
        <f ca="1">IFERROR(__xludf.DUMMYFUNCTION("""COMPUTED_VALUE"""),"6330@nybolig.dk")</f>
        <v>6330@nybolig.dk</v>
      </c>
      <c r="Q6" s="27" t="str">
        <f ca="1">IFERROR(__xludf.DUMMYFUNCTION("""COMPUTED_VALUE"""),"https://www.boliga.dk/maegler/1080")</f>
        <v>https://www.boliga.dk/maegler/1080</v>
      </c>
      <c r="R6" s="2" t="str">
        <f ca="1">IFERROR(__xludf.DUMMYFUNCTION("""COMPUTED_VALUE"""),"6300, 6320, 6330, 6340")</f>
        <v>6300, 6320, 6330, 6340</v>
      </c>
      <c r="S6" s="29">
        <f ca="1">IFERROR(__xludf.DUMMYFUNCTION("""COMPUTED_VALUE"""),43839)</f>
        <v>43839</v>
      </c>
      <c r="T6" s="29">
        <f ca="1">IFERROR(__xludf.DUMMYFUNCTION("""COMPUTED_VALUE"""),43951)</f>
        <v>43951</v>
      </c>
      <c r="U6" s="2">
        <f ca="1">IFERROR(__xludf.DUMMYFUNCTION("""COMPUTED_VALUE"""),61)</f>
        <v>61</v>
      </c>
      <c r="V6" s="2" t="str">
        <f ca="1">IFERROR(__xludf.DUMMYFUNCTION("""COMPUTED_VALUE"""),"6200, 6310, 6300, 6440, 6340, 6360, 6330, 6400")</f>
        <v>6200, 6310, 6300, 6440, 6340, 6360, 6330, 6400</v>
      </c>
      <c r="W6" s="2">
        <f ca="1">IFERROR(__xludf.DUMMYFUNCTION("""COMPUTED_VALUE"""),48)</f>
        <v>48</v>
      </c>
      <c r="X6" s="2" t="str">
        <f ca="1">IFERROR(__xludf.DUMMYFUNCTION("""COMPUTED_VALUE"""),"6200, 6310, 6300, 6330, 6340, 6470, 6372, 6360")</f>
        <v>6200, 6310, 6300, 6330, 6340, 6470, 6372, 6360</v>
      </c>
      <c r="Y6" s="2" t="str">
        <f ca="1">IFERROR(__xludf.DUMMYFUNCTION("""COMPUTED_VALUE"""),"ja")</f>
        <v>ja</v>
      </c>
      <c r="Z6" s="2" t="str">
        <f ca="1">IFERROR(__xludf.DUMMYFUNCTION("""COMPUTED_VALUE"""),"skal vende den med Ole, hun betaler 500 for et lead idag - ny partner, har gensendt til dem begge")</f>
        <v>skal vende den med Ole, hun betaler 500 for et lead idag - ny partner, har gensendt til dem begge</v>
      </c>
      <c r="AA6" s="25"/>
      <c r="AB6" s="2" t="str">
        <f ca="1">IFERROR(__xludf.DUMMYFUNCTION("""COMPUTED_VALUE"""),"x")</f>
        <v>x</v>
      </c>
      <c r="AC6" s="2" t="str">
        <f ca="1">IFERROR(__xludf.DUMMYFUNCTION("""COMPUTED_VALUE"""),"x")</f>
        <v>x</v>
      </c>
      <c r="AD6" s="2"/>
      <c r="AE6" s="2"/>
    </row>
    <row r="7" spans="1:33" ht="15.75" customHeight="1">
      <c r="A7" s="2" t="str">
        <f ca="1">IFERROR(__xludf.DUMMYFUNCTION("""COMPUTED_VALUE"""),"Christian")</f>
        <v>Christian</v>
      </c>
      <c r="B7" s="2" t="str">
        <f ca="1">IFERROR(__xludf.DUMMYFUNCTION("""COMPUTED_VALUE"""),"Nybolig Esbjerg")</f>
        <v>Nybolig Esbjerg</v>
      </c>
      <c r="C7" s="26">
        <f ca="1">IFERROR(__xludf.DUMMYFUNCTION("""COMPUTED_VALUE"""),34007772)</f>
        <v>34007772</v>
      </c>
      <c r="D7" s="26" t="str">
        <f ca="1">IFERROR(__xludf.DUMMYFUNCTION("""COMPUTED_VALUE"""),"MG-JY: 2.499,-")</f>
        <v>MG-JY: 2.499,-</v>
      </c>
      <c r="E7" s="26">
        <f ca="1">IFERROR(__xludf.DUMMYFUNCTION("""COMPUTED_VALUE"""),1201)</f>
        <v>1201</v>
      </c>
      <c r="F7" s="26" t="str">
        <f ca="1">IFERROR(__xludf.DUMMYFUNCTION("""COMPUTED_VALUE"""),"Jan L. Madsen Ejendomsmægler, Indehaver")</f>
        <v>Jan L. Madsen Ejendomsmægler, Indehaver</v>
      </c>
      <c r="G7" s="2" t="str">
        <f ca="1">IFERROR(__xludf.DUMMYFUNCTION("""COMPUTED_VALUE"""),"jlm@nybolig.dk")</f>
        <v>jlm@nybolig.dk</v>
      </c>
      <c r="H7" s="2"/>
      <c r="I7" s="2" t="str">
        <f ca="1">IFERROR(__xludf.DUMMYFUNCTION("""COMPUTED_VALUE"""),"Borgergade 58")</f>
        <v>Borgergade 58</v>
      </c>
      <c r="J7" s="2">
        <f ca="1">IFERROR(__xludf.DUMMYFUNCTION("""COMPUTED_VALUE"""),6700)</f>
        <v>6700</v>
      </c>
      <c r="K7" s="2" t="str">
        <f ca="1">IFERROR(__xludf.DUMMYFUNCTION("""COMPUTED_VALUE"""),"Esbjerg")</f>
        <v>Esbjerg</v>
      </c>
      <c r="L7" s="2" t="str">
        <f ca="1">IFERROR(__xludf.DUMMYFUNCTION("""COMPUTED_VALUE"""),"Esbjerg")</f>
        <v>Esbjerg</v>
      </c>
      <c r="M7" s="2" t="str">
        <f ca="1">IFERROR(__xludf.DUMMYFUNCTION("""COMPUTED_VALUE"""),"Sydjylland")</f>
        <v>Sydjylland</v>
      </c>
      <c r="N7" s="2" t="str">
        <f ca="1">IFERROR(__xludf.DUMMYFUNCTION("""COMPUTED_VALUE"""),"Syddanmark")</f>
        <v>Syddanmark</v>
      </c>
      <c r="O7" s="2" t="str">
        <f ca="1">IFERROR(__xludf.DUMMYFUNCTION("""COMPUTED_VALUE"""),"7545 4045")</f>
        <v>7545 4045</v>
      </c>
      <c r="P7" s="2" t="str">
        <f ca="1">IFERROR(__xludf.DUMMYFUNCTION("""COMPUTED_VALUE"""),"6701@nybolig.dk")</f>
        <v>6701@nybolig.dk</v>
      </c>
      <c r="Q7" s="27" t="str">
        <f ca="1">IFERROR(__xludf.DUMMYFUNCTION("""COMPUTED_VALUE"""),"https://www.boliga.dk/maegler/504")</f>
        <v>https://www.boliga.dk/maegler/504</v>
      </c>
      <c r="R7" s="2" t="str">
        <f ca="1">IFERROR(__xludf.DUMMYFUNCTION("""COMPUTED_VALUE"""),"6700, 6705, 6710, 6715, 6731, 6740")</f>
        <v>6700, 6705, 6710, 6715, 6731, 6740</v>
      </c>
      <c r="S7" s="29">
        <f ca="1">IFERROR(__xludf.DUMMYFUNCTION("""COMPUTED_VALUE"""),43775)</f>
        <v>43775</v>
      </c>
      <c r="T7" s="29">
        <f ca="1">IFERROR(__xludf.DUMMYFUNCTION("""COMPUTED_VALUE"""),44319)</f>
        <v>44319</v>
      </c>
      <c r="U7" s="2">
        <f ca="1">IFERROR(__xludf.DUMMYFUNCTION("""COMPUTED_VALUE"""),35)</f>
        <v>35</v>
      </c>
      <c r="V7" s="2" t="str">
        <f ca="1">IFERROR(__xludf.DUMMYFUNCTION("""COMPUTED_VALUE"""),"6731, 6710, 6700, 6818, 6823, 6715, 6705, 6740")</f>
        <v>6731, 6710, 6700, 6818, 6823, 6715, 6705, 6740</v>
      </c>
      <c r="W7" s="2">
        <f ca="1">IFERROR(__xludf.DUMMYFUNCTION("""COMPUTED_VALUE"""),34)</f>
        <v>34</v>
      </c>
      <c r="X7" s="2" t="str">
        <f ca="1">IFERROR(__xludf.DUMMYFUNCTION("""COMPUTED_VALUE"""),"6700, 6690, 6705, 6710, 6715")</f>
        <v>6700, 6690, 6705, 6710, 6715</v>
      </c>
      <c r="Y7" s="2" t="str">
        <f ca="1">IFERROR(__xludf.DUMMYFUNCTION("""COMPUTED_VALUE"""),"ja")</f>
        <v>ja</v>
      </c>
      <c r="Z7" s="2"/>
      <c r="AA7" s="25"/>
      <c r="AB7" s="2" t="str">
        <f ca="1">IFERROR(__xludf.DUMMYFUNCTION("""COMPUTED_VALUE"""),"x")</f>
        <v>x</v>
      </c>
      <c r="AC7" s="2" t="str">
        <f ca="1">IFERROR(__xludf.DUMMYFUNCTION("""COMPUTED_VALUE"""),"x")</f>
        <v>x</v>
      </c>
      <c r="AD7" s="2"/>
      <c r="AE7" s="2"/>
    </row>
    <row r="8" spans="1:33" ht="15.75" customHeight="1">
      <c r="A8" s="2" t="str">
        <f ca="1">IFERROR(__xludf.DUMMYFUNCTION("""COMPUTED_VALUE"""),"Christian")</f>
        <v>Christian</v>
      </c>
      <c r="B8" s="2" t="str">
        <f ca="1">IFERROR(__xludf.DUMMYFUNCTION("""COMPUTED_VALUE"""),"Nybolig Rekrea")</f>
        <v>Nybolig Rekrea</v>
      </c>
      <c r="C8" s="26"/>
      <c r="D8" s="26" t="str">
        <f ca="1">IFERROR(__xludf.DUMMYFUNCTION("""COMPUTED_VALUE"""),"MG-JY: 2.499,-")</f>
        <v>MG-JY: 2.499,-</v>
      </c>
      <c r="E8" s="26">
        <f ca="1">IFERROR(__xludf.DUMMYFUNCTION("""COMPUTED_VALUE"""),1201)</f>
        <v>1201</v>
      </c>
      <c r="F8" s="26" t="str">
        <f ca="1">IFERROR(__xludf.DUMMYFUNCTION("""COMPUTED_VALUE"""),"Søren Gyldenfeldt Aarøe Ejendomsmægler, Indehaver")</f>
        <v>Søren Gyldenfeldt Aarøe Ejendomsmægler, Indehaver</v>
      </c>
      <c r="G8" s="2"/>
      <c r="H8" s="2"/>
      <c r="I8" s="2" t="str">
        <f ca="1">IFERROR(__xludf.DUMMYFUNCTION("""COMPUTED_VALUE"""),"Strandbygade 61")</f>
        <v>Strandbygade 61</v>
      </c>
      <c r="J8" s="2">
        <f ca="1">IFERROR(__xludf.DUMMYFUNCTION("""COMPUTED_VALUE"""),6700)</f>
        <v>6700</v>
      </c>
      <c r="K8" s="2" t="str">
        <f ca="1">IFERROR(__xludf.DUMMYFUNCTION("""COMPUTED_VALUE"""),"Esbjerg")</f>
        <v>Esbjerg</v>
      </c>
      <c r="L8" s="2" t="str">
        <f ca="1">IFERROR(__xludf.DUMMYFUNCTION("""COMPUTED_VALUE"""),"Esbjerg")</f>
        <v>Esbjerg</v>
      </c>
      <c r="M8" s="2" t="str">
        <f ca="1">IFERROR(__xludf.DUMMYFUNCTION("""COMPUTED_VALUE"""),"Sydjylland")</f>
        <v>Sydjylland</v>
      </c>
      <c r="N8" s="2" t="str">
        <f ca="1">IFERROR(__xludf.DUMMYFUNCTION("""COMPUTED_VALUE"""),"Syddanmark")</f>
        <v>Syddanmark</v>
      </c>
      <c r="O8" s="2" t="str">
        <f ca="1">IFERROR(__xludf.DUMMYFUNCTION("""COMPUTED_VALUE"""),"7545 7588")</f>
        <v>7545 7588</v>
      </c>
      <c r="P8" s="2" t="str">
        <f ca="1">IFERROR(__xludf.DUMMYFUNCTION("""COMPUTED_VALUE"""),"6700@nybolig.dk")</f>
        <v>6700@nybolig.dk</v>
      </c>
      <c r="Q8" s="27" t="str">
        <f ca="1">IFERROR(__xludf.DUMMYFUNCTION("""COMPUTED_VALUE"""),"https://www.boliga.dk/maegler/116")</f>
        <v>https://www.boliga.dk/maegler/116</v>
      </c>
      <c r="R8" s="2" t="str">
        <f ca="1">IFERROR(__xludf.DUMMYFUNCTION("""COMPUTED_VALUE"""),"6700, 6705, 6710, 6715, 6731, 6740")</f>
        <v>6700, 6705, 6710, 6715, 6731, 6740</v>
      </c>
      <c r="S8" s="29">
        <f ca="1">IFERROR(__xludf.DUMMYFUNCTION("""COMPUTED_VALUE"""),43775)</f>
        <v>43775</v>
      </c>
      <c r="T8" s="29">
        <f ca="1">IFERROR(__xludf.DUMMYFUNCTION("""COMPUTED_VALUE"""),44319)</f>
        <v>44319</v>
      </c>
      <c r="U8" s="2">
        <f ca="1">IFERROR(__xludf.DUMMYFUNCTION("""COMPUTED_VALUE"""),34)</f>
        <v>34</v>
      </c>
      <c r="V8" s="2" t="str">
        <f ca="1">IFERROR(__xludf.DUMMYFUNCTION("""COMPUTED_VALUE"""),"6705, 6715, 6700, 6800, 6710, 6840")</f>
        <v>6705, 6715, 6700, 6800, 6710, 6840</v>
      </c>
      <c r="W8" s="2">
        <f ca="1">IFERROR(__xludf.DUMMYFUNCTION("""COMPUTED_VALUE"""),16)</f>
        <v>16</v>
      </c>
      <c r="X8" s="2" t="str">
        <f ca="1">IFERROR(__xludf.DUMMYFUNCTION("""COMPUTED_VALUE"""),"6705, 6715, 6700, 6710, 6740")</f>
        <v>6705, 6715, 6700, 6710, 6740</v>
      </c>
      <c r="Y8" s="2" t="str">
        <f ca="1">IFERROR(__xludf.DUMMYFUNCTION("""COMPUTED_VALUE"""),"ja")</f>
        <v>ja</v>
      </c>
      <c r="Z8" s="2"/>
      <c r="AA8" s="25"/>
      <c r="AB8" s="2" t="str">
        <f ca="1">IFERROR(__xludf.DUMMYFUNCTION("""COMPUTED_VALUE"""),"x")</f>
        <v>x</v>
      </c>
      <c r="AC8" s="2"/>
      <c r="AD8" s="2"/>
      <c r="AE8" s="2"/>
    </row>
    <row r="9" spans="1:33" ht="15.75" customHeight="1">
      <c r="A9" s="2" t="str">
        <f ca="1">IFERROR(__xludf.DUMMYFUNCTION("""COMPUTED_VALUE"""),"Christian")</f>
        <v>Christian</v>
      </c>
      <c r="B9" s="2" t="str">
        <f ca="1">IFERROR(__xludf.DUMMYFUNCTION("""COMPUTED_VALUE"""),"Nybolig Varde")</f>
        <v>Nybolig Varde</v>
      </c>
      <c r="C9" s="26"/>
      <c r="D9" s="26" t="str">
        <f ca="1">IFERROR(__xludf.DUMMYFUNCTION("""COMPUTED_VALUE"""),"MG-JY: 2.499,-")</f>
        <v>MG-JY: 2.499,-</v>
      </c>
      <c r="E9" s="26">
        <f ca="1">IFERROR(__xludf.DUMMYFUNCTION("""COMPUTED_VALUE"""),1201)</f>
        <v>1201</v>
      </c>
      <c r="F9" s="26" t="str">
        <f ca="1">IFERROR(__xludf.DUMMYFUNCTION("""COMPUTED_VALUE"""),"Jesper Brorson Hansen, Ejendomsmægler MDE, Indehaver")</f>
        <v>Jesper Brorson Hansen, Ejendomsmægler MDE, Indehaver</v>
      </c>
      <c r="G9" s="2"/>
      <c r="H9" s="2"/>
      <c r="I9" s="2" t="str">
        <f ca="1">IFERROR(__xludf.DUMMYFUNCTION("""COMPUTED_VALUE"""),"Torvegade 7")</f>
        <v>Torvegade 7</v>
      </c>
      <c r="J9" s="2">
        <f ca="1">IFERROR(__xludf.DUMMYFUNCTION("""COMPUTED_VALUE"""),6800)</f>
        <v>6800</v>
      </c>
      <c r="K9" s="2" t="str">
        <f ca="1">IFERROR(__xludf.DUMMYFUNCTION("""COMPUTED_VALUE"""),"Varde")</f>
        <v>Varde</v>
      </c>
      <c r="L9" s="2" t="str">
        <f ca="1">IFERROR(__xludf.DUMMYFUNCTION("""COMPUTED_VALUE"""),"Varde")</f>
        <v>Varde</v>
      </c>
      <c r="M9" s="2" t="str">
        <f ca="1">IFERROR(__xludf.DUMMYFUNCTION("""COMPUTED_VALUE"""),"Sydjylland")</f>
        <v>Sydjylland</v>
      </c>
      <c r="N9" s="2" t="str">
        <f ca="1">IFERROR(__xludf.DUMMYFUNCTION("""COMPUTED_VALUE"""),"Syddanmark")</f>
        <v>Syddanmark</v>
      </c>
      <c r="O9" s="2" t="str">
        <f ca="1">IFERROR(__xludf.DUMMYFUNCTION("""COMPUTED_VALUE"""),"7521 2424")</f>
        <v>7521 2424</v>
      </c>
      <c r="P9" s="2" t="str">
        <f ca="1">IFERROR(__xludf.DUMMYFUNCTION("""COMPUTED_VALUE"""),"6800@nybolig.dk")</f>
        <v>6800@nybolig.dk</v>
      </c>
      <c r="Q9" s="27" t="str">
        <f ca="1">IFERROR(__xludf.DUMMYFUNCTION("""COMPUTED_VALUE"""),"https://www.boliga.dk/maegler/324")</f>
        <v>https://www.boliga.dk/maegler/324</v>
      </c>
      <c r="R9" s="2" t="str">
        <f ca="1">IFERROR(__xludf.DUMMYFUNCTION("""COMPUTED_VALUE"""),"6753, 6800, 6818, 6823, 6851, 6852, 6855, 6862, 6870")</f>
        <v>6753, 6800, 6818, 6823, 6851, 6852, 6855, 6862, 6870</v>
      </c>
      <c r="S9" s="28">
        <f ca="1">IFERROR(__xludf.DUMMYFUNCTION("""COMPUTED_VALUE"""),43798)</f>
        <v>43798</v>
      </c>
      <c r="T9" s="28">
        <f ca="1">IFERROR(__xludf.DUMMYFUNCTION("""COMPUTED_VALUE"""),44319)</f>
        <v>44319</v>
      </c>
      <c r="U9" s="2">
        <f ca="1">IFERROR(__xludf.DUMMYFUNCTION("""COMPUTED_VALUE"""),35)</f>
        <v>35</v>
      </c>
      <c r="V9" s="2" t="str">
        <f ca="1">IFERROR(__xludf.DUMMYFUNCTION("""COMPUTED_VALUE"""),"6818, 6862, 6823, 6851, 6800")</f>
        <v>6818, 6862, 6823, 6851, 6800</v>
      </c>
      <c r="W9" s="2">
        <f ca="1">IFERROR(__xludf.DUMMYFUNCTION("""COMPUTED_VALUE"""),27)</f>
        <v>27</v>
      </c>
      <c r="X9" s="2" t="str">
        <f ca="1">IFERROR(__xludf.DUMMYFUNCTION("""COMPUTED_VALUE"""),"6862, 6823, 6851, 6800, 6870, 6840")</f>
        <v>6862, 6823, 6851, 6800, 6870, 6840</v>
      </c>
      <c r="Y9" s="2" t="str">
        <f ca="1">IFERROR(__xludf.DUMMYFUNCTION("""COMPUTED_VALUE"""),"ja")</f>
        <v>ja</v>
      </c>
      <c r="Z9" s="2" t="str">
        <f ca="1">IFERROR(__xludf.DUMMYFUNCTION("""COMPUTED_VALUE"""),"han vil lige kigge på det sendte når han er tilbage fra ferie, men regner med at han er med")</f>
        <v>han vil lige kigge på det sendte når han er tilbage fra ferie, men regner med at han er med</v>
      </c>
      <c r="AA9" s="25"/>
      <c r="AB9" s="2" t="str">
        <f ca="1">IFERROR(__xludf.DUMMYFUNCTION("""COMPUTED_VALUE"""),"x")</f>
        <v>x</v>
      </c>
      <c r="AC9" s="2"/>
      <c r="AD9" s="2"/>
      <c r="AE9" s="2"/>
    </row>
    <row r="10" spans="1:33" ht="15.75" customHeight="1">
      <c r="A10" s="2" t="str">
        <f ca="1">IFERROR(__xludf.DUMMYFUNCTION("""COMPUTED_VALUE"""),"Christian")</f>
        <v>Christian</v>
      </c>
      <c r="B10" s="2" t="str">
        <f ca="1">IFERROR(__xludf.DUMMYFUNCTION("""COMPUTED_VALUE"""),"Nybolig Kolding A/S")</f>
        <v>Nybolig Kolding A/S</v>
      </c>
      <c r="C10" s="26">
        <f ca="1">IFERROR(__xludf.DUMMYFUNCTION("""COMPUTED_VALUE"""),29804044)</f>
        <v>29804044</v>
      </c>
      <c r="D10" s="26" t="str">
        <f ca="1">IFERROR(__xludf.DUMMYFUNCTION("""COMPUTED_VALUE"""),"MG-PM-JY: 1.949,-")</f>
        <v>MG-PM-JY: 1.949,-</v>
      </c>
      <c r="E10" s="26">
        <f ca="1">IFERROR(__xludf.DUMMYFUNCTION("""COMPUTED_VALUE"""),1203)</f>
        <v>1203</v>
      </c>
      <c r="F10" s="26" t="str">
        <f ca="1">IFERROR(__xludf.DUMMYFUNCTION("""COMPUTED_VALUE"""),"Glenn Gadegaard Ejendomsmægler, MDE, Indehaver")</f>
        <v>Glenn Gadegaard Ejendomsmægler, MDE, Indehaver</v>
      </c>
      <c r="G10" s="2" t="str">
        <f ca="1">IFERROR(__xludf.DUMMYFUNCTION("""COMPUTED_VALUE"""),"glg@nybolig.dk")</f>
        <v>glg@nybolig.dk</v>
      </c>
      <c r="H10" s="2"/>
      <c r="I10" s="2" t="str">
        <f ca="1">IFERROR(__xludf.DUMMYFUNCTION("""COMPUTED_VALUE"""),"Vestre Ringgade 2 A")</f>
        <v>Vestre Ringgade 2 A</v>
      </c>
      <c r="J10" s="2">
        <f ca="1">IFERROR(__xludf.DUMMYFUNCTION("""COMPUTED_VALUE"""),6000)</f>
        <v>6000</v>
      </c>
      <c r="K10" s="2" t="str">
        <f ca="1">IFERROR(__xludf.DUMMYFUNCTION("""COMPUTED_VALUE"""),"Kolding")</f>
        <v>Kolding</v>
      </c>
      <c r="L10" s="2" t="str">
        <f ca="1">IFERROR(__xludf.DUMMYFUNCTION("""COMPUTED_VALUE"""),"Kolding")</f>
        <v>Kolding</v>
      </c>
      <c r="M10" s="2" t="str">
        <f ca="1">IFERROR(__xludf.DUMMYFUNCTION("""COMPUTED_VALUE"""),"Sydjylland")</f>
        <v>Sydjylland</v>
      </c>
      <c r="N10" s="2" t="str">
        <f ca="1">IFERROR(__xludf.DUMMYFUNCTION("""COMPUTED_VALUE"""),"Syddanmark")</f>
        <v>Syddanmark</v>
      </c>
      <c r="O10" s="2" t="str">
        <f ca="1">IFERROR(__xludf.DUMMYFUNCTION("""COMPUTED_VALUE"""),"7552 8033")</f>
        <v>7552 8033</v>
      </c>
      <c r="P10" s="2" t="str">
        <f ca="1">IFERROR(__xludf.DUMMYFUNCTION("""COMPUTED_VALUE"""),"6001@nybolig.dk")</f>
        <v>6001@nybolig.dk</v>
      </c>
      <c r="Q10" s="27" t="str">
        <f ca="1">IFERROR(__xludf.DUMMYFUNCTION("""COMPUTED_VALUE"""),"https://www.boliga.dk/maegler/137")</f>
        <v>https://www.boliga.dk/maegler/137</v>
      </c>
      <c r="R10" s="2" t="str">
        <f ca="1">IFERROR(__xludf.DUMMYFUNCTION("""COMPUTED_VALUE"""),"6000, 6040, 6051, 6052, 6064, 6070, 6091-6095, 6580, 6640")</f>
        <v>6000, 6040, 6051, 6052, 6064, 6070, 6091-6095, 6580, 6640</v>
      </c>
      <c r="S10" s="29">
        <f ca="1">IFERROR(__xludf.DUMMYFUNCTION("""COMPUTED_VALUE"""),43707)</f>
        <v>43707</v>
      </c>
      <c r="T10" s="2" t="str">
        <f ca="1">IFERROR(__xludf.DUMMYFUNCTION("""COMPUTED_VALUE"""),"-")</f>
        <v>-</v>
      </c>
      <c r="U10" s="2">
        <f ca="1">IFERROR(__xludf.DUMMYFUNCTION("""COMPUTED_VALUE"""),104)</f>
        <v>104</v>
      </c>
      <c r="V10" s="2" t="str">
        <f ca="1">IFERROR(__xludf.DUMMYFUNCTION("""COMPUTED_VALUE"""),"6092, 5500, 6051, 6040, 6580, 6640, 6064, 6000, 6091, 6094, 6093, 6052")</f>
        <v>6092, 5500, 6051, 6040, 6580, 6640, 6064, 6000, 6091, 6094, 6093, 6052</v>
      </c>
      <c r="W10" s="2">
        <f ca="1">IFERROR(__xludf.DUMMYFUNCTION("""COMPUTED_VALUE"""),62)</f>
        <v>62</v>
      </c>
      <c r="X10" s="2" t="str">
        <f ca="1">IFERROR(__xludf.DUMMYFUNCTION("""COMPUTED_VALUE"""),"6580, 6630, 6051, 6040, 6064, 6094, 6091, 6000, 6640, 6093, 6052, 6623")</f>
        <v>6580, 6630, 6051, 6040, 6064, 6094, 6091, 6000, 6640, 6093, 6052, 6623</v>
      </c>
      <c r="Y10" s="2" t="str">
        <f ca="1">IFERROR(__xludf.DUMMYFUNCTION("""COMPUTED_VALUE"""),"ja")</f>
        <v>ja</v>
      </c>
      <c r="Z10" s="2"/>
      <c r="AA10" s="25"/>
      <c r="AB10" s="2" t="str">
        <f ca="1">IFERROR(__xludf.DUMMYFUNCTION("""COMPUTED_VALUE"""),"x")</f>
        <v>x</v>
      </c>
      <c r="AC10" s="2"/>
      <c r="AD10" s="2" t="str">
        <f ca="1">IFERROR(__xludf.DUMMYFUNCTION("""COMPUTED_VALUE"""),"ja")</f>
        <v>ja</v>
      </c>
      <c r="AE10" s="2" t="str">
        <f ca="1">IFERROR(__xludf.DUMMYFUNCTION("""COMPUTED_VALUE"""),"højst sandsynligt, har frokostmøde med ham den 26/4")</f>
        <v>højst sandsynligt, har frokostmøde med ham den 26/4</v>
      </c>
    </row>
    <row r="11" spans="1:33" ht="15.75" customHeight="1">
      <c r="A11" s="2" t="str">
        <f ca="1">IFERROR(__xludf.DUMMYFUNCTION("""COMPUTED_VALUE"""),"Christian")</f>
        <v>Christian</v>
      </c>
      <c r="B11" s="2" t="str">
        <f ca="1">IFERROR(__xludf.DUMMYFUNCTION("""COMPUTED_VALUE"""),"Nybolig Skive")</f>
        <v>Nybolig Skive</v>
      </c>
      <c r="C11" s="26"/>
      <c r="D11" s="26" t="str">
        <f ca="1">IFERROR(__xludf.DUMMYFUNCTION("""COMPUTED_VALUE"""),"MG-PM-JY: 1.949,-")</f>
        <v>MG-PM-JY: 1.949,-</v>
      </c>
      <c r="E11" s="26">
        <f ca="1">IFERROR(__xludf.DUMMYFUNCTION("""COMPUTED_VALUE"""),1203)</f>
        <v>1203</v>
      </c>
      <c r="F11" s="26" t="str">
        <f ca="1">IFERROR(__xludf.DUMMYFUNCTION("""COMPUTED_VALUE"""),"Torben Kuipers Christensen, Ejendomsmægler")</f>
        <v>Torben Kuipers Christensen, Ejendomsmægler</v>
      </c>
      <c r="G11" s="2"/>
      <c r="H11" s="2"/>
      <c r="I11" s="2" t="str">
        <f ca="1">IFERROR(__xludf.DUMMYFUNCTION("""COMPUTED_VALUE"""),"Albert Diges Vej 3")</f>
        <v>Albert Diges Vej 3</v>
      </c>
      <c r="J11" s="2">
        <f ca="1">IFERROR(__xludf.DUMMYFUNCTION("""COMPUTED_VALUE"""),7800)</f>
        <v>7800</v>
      </c>
      <c r="K11" s="2" t="str">
        <f ca="1">IFERROR(__xludf.DUMMYFUNCTION("""COMPUTED_VALUE"""),"Skive")</f>
        <v>Skive</v>
      </c>
      <c r="L11" s="2" t="str">
        <f ca="1">IFERROR(__xludf.DUMMYFUNCTION("""COMPUTED_VALUE"""),"Skive")</f>
        <v>Skive</v>
      </c>
      <c r="M11" s="2" t="str">
        <f ca="1">IFERROR(__xludf.DUMMYFUNCTION("""COMPUTED_VALUE"""),"Vestjylland")</f>
        <v>Vestjylland</v>
      </c>
      <c r="N11" s="2" t="str">
        <f ca="1">IFERROR(__xludf.DUMMYFUNCTION("""COMPUTED_VALUE"""),"Midtjylland")</f>
        <v>Midtjylland</v>
      </c>
      <c r="O11" s="2" t="str">
        <f ca="1">IFERROR(__xludf.DUMMYFUNCTION("""COMPUTED_VALUE"""),"9752 5244")</f>
        <v>9752 5244</v>
      </c>
      <c r="P11" s="2" t="str">
        <f ca="1">IFERROR(__xludf.DUMMYFUNCTION("""COMPUTED_VALUE"""),"7800@nybolig.dk")</f>
        <v>7800@nybolig.dk</v>
      </c>
      <c r="Q11" s="27" t="str">
        <f ca="1">IFERROR(__xludf.DUMMYFUNCTION("""COMPUTED_VALUE"""),"https://www.boliga.dk/maegler/572")</f>
        <v>https://www.boliga.dk/maegler/572</v>
      </c>
      <c r="R11" s="2" t="str">
        <f ca="1">IFERROR(__xludf.DUMMYFUNCTION("""COMPUTED_VALUE"""),"7800, 7840, 7850, 7860, 7870, 7884")</f>
        <v>7800, 7840, 7850, 7860, 7870, 7884</v>
      </c>
      <c r="S11" s="28">
        <f ca="1">IFERROR(__xludf.DUMMYFUNCTION("""COMPUTED_VALUE"""),43724)</f>
        <v>43724</v>
      </c>
      <c r="T11" s="2" t="str">
        <f ca="1">IFERROR(__xludf.DUMMYFUNCTION("""COMPUTED_VALUE"""),"-")</f>
        <v>-</v>
      </c>
      <c r="U11" s="2">
        <f ca="1">IFERROR(__xludf.DUMMYFUNCTION("""COMPUTED_VALUE"""),92)</f>
        <v>92</v>
      </c>
      <c r="V11" s="2" t="str">
        <f ca="1">IFERROR(__xludf.DUMMYFUNCTION("""COMPUTED_VALUE"""),"7860, 7840, 7870, 7830, 7884, 7800")</f>
        <v>7860, 7840, 7870, 7830, 7884, 7800</v>
      </c>
      <c r="W11" s="2">
        <f ca="1">IFERROR(__xludf.DUMMYFUNCTION("""COMPUTED_VALUE"""),46)</f>
        <v>46</v>
      </c>
      <c r="X11" s="2" t="str">
        <f ca="1">IFERROR(__xludf.DUMMYFUNCTION("""COMPUTED_VALUE"""),"7860, 7840, 7870, 7800, 7884")</f>
        <v>7860, 7840, 7870, 7800, 7884</v>
      </c>
      <c r="Y11" s="2" t="str">
        <f ca="1">IFERROR(__xludf.DUMMYFUNCTION("""COMPUTED_VALUE"""),"ja")</f>
        <v>ja</v>
      </c>
      <c r="Z11" s="2" t="str">
        <f ca="1">IFERROR(__xludf.DUMMYFUNCTION("""COMPUTED_VALUE"""),"skal lige sende det til ham så vil han cleare med Morten")</f>
        <v>skal lige sende det til ham så vil han cleare med Morten</v>
      </c>
      <c r="AA11" s="25"/>
      <c r="AB11" s="2" t="str">
        <f ca="1">IFERROR(__xludf.DUMMYFUNCTION("""COMPUTED_VALUE"""),"x")</f>
        <v>x</v>
      </c>
      <c r="AC11" s="2"/>
      <c r="AD11" s="2" t="str">
        <f ca="1">IFERROR(__xludf.DUMMYFUNCTION("""COMPUTED_VALUE"""),"ja")</f>
        <v>ja</v>
      </c>
      <c r="AE11" s="2" t="str">
        <f ca="1">IFERROR(__xludf.DUMMYFUNCTION("""COMPUTED_VALUE"""),"Torben er klar, skal lige vende med Morten og vi skal tales ved igen efter ferien")</f>
        <v>Torben er klar, skal lige vende med Morten og vi skal tales ved igen efter ferien</v>
      </c>
    </row>
    <row r="12" spans="1:33" ht="15.75" customHeight="1">
      <c r="A12" s="2" t="str">
        <f ca="1">IFERROR(__xludf.DUMMYFUNCTION("""COMPUTED_VALUE"""),"Christian")</f>
        <v>Christian</v>
      </c>
      <c r="B12" s="2" t="str">
        <f ca="1">IFERROR(__xludf.DUMMYFUNCTION("""COMPUTED_VALUE"""),"Nybolig Nyborg")</f>
        <v>Nybolig Nyborg</v>
      </c>
      <c r="C12" s="26"/>
      <c r="D12" s="26" t="str">
        <f ca="1">IFERROR(__xludf.DUMMYFUNCTION("""COMPUTED_VALUE"""),"MG-PM-JY: 1.949,-")</f>
        <v>MG-PM-JY: 1.949,-</v>
      </c>
      <c r="E12" s="26">
        <f ca="1">IFERROR(__xludf.DUMMYFUNCTION("""COMPUTED_VALUE"""),1203)</f>
        <v>1203</v>
      </c>
      <c r="F12" s="26" t="str">
        <f ca="1">IFERROR(__xludf.DUMMYFUNCTION("""COMPUTED_VALUE"""),"Lars Bach, Ejendomsmægler")</f>
        <v>Lars Bach, Ejendomsmægler</v>
      </c>
      <c r="G12" s="2"/>
      <c r="H12" s="2"/>
      <c r="I12" s="2" t="str">
        <f ca="1">IFERROR(__xludf.DUMMYFUNCTION("""COMPUTED_VALUE"""),"Adelgade 8")</f>
        <v>Adelgade 8</v>
      </c>
      <c r="J12" s="2">
        <f ca="1">IFERROR(__xludf.DUMMYFUNCTION("""COMPUTED_VALUE"""),5800)</f>
        <v>5800</v>
      </c>
      <c r="K12" s="2" t="str">
        <f ca="1">IFERROR(__xludf.DUMMYFUNCTION("""COMPUTED_VALUE"""),"Nyborg")</f>
        <v>Nyborg</v>
      </c>
      <c r="L12" s="2" t="str">
        <f ca="1">IFERROR(__xludf.DUMMYFUNCTION("""COMPUTED_VALUE"""),"Nyborg")</f>
        <v>Nyborg</v>
      </c>
      <c r="M12" s="2" t="str">
        <f ca="1">IFERROR(__xludf.DUMMYFUNCTION("""COMPUTED_VALUE"""),"Fyn")</f>
        <v>Fyn</v>
      </c>
      <c r="N12" s="2" t="str">
        <f ca="1">IFERROR(__xludf.DUMMYFUNCTION("""COMPUTED_VALUE"""),"Syddanmark")</f>
        <v>Syddanmark</v>
      </c>
      <c r="O12" s="2" t="str">
        <f ca="1">IFERROR(__xludf.DUMMYFUNCTION("""COMPUTED_VALUE"""),"6531 6510")</f>
        <v>6531 6510</v>
      </c>
      <c r="P12" s="2" t="str">
        <f ca="1">IFERROR(__xludf.DUMMYFUNCTION("""COMPUTED_VALUE"""),"5800@nybolig.dk")</f>
        <v>5800@nybolig.dk</v>
      </c>
      <c r="Q12" s="27" t="str">
        <f ca="1">IFERROR(__xludf.DUMMYFUNCTION("""COMPUTED_VALUE"""),"https://www.boliga.dk/maegler/884")</f>
        <v>https://www.boliga.dk/maegler/884</v>
      </c>
      <c r="R12" s="2" t="str">
        <f ca="1">IFERROR(__xludf.DUMMYFUNCTION("""COMPUTED_VALUE"""),"5540, 5800, 5853, 5871")</f>
        <v>5540, 5800, 5853, 5871</v>
      </c>
      <c r="S12" s="29">
        <f ca="1">IFERROR(__xludf.DUMMYFUNCTION("""COMPUTED_VALUE"""),43741)</f>
        <v>43741</v>
      </c>
      <c r="T12" s="2" t="str">
        <f ca="1">IFERROR(__xludf.DUMMYFUNCTION("""COMPUTED_VALUE"""),"-")</f>
        <v>-</v>
      </c>
      <c r="U12" s="2">
        <f ca="1">IFERROR(__xludf.DUMMYFUNCTION("""COMPUTED_VALUE"""),28)</f>
        <v>28</v>
      </c>
      <c r="V12" s="2" t="str">
        <f ca="1">IFERROR(__xludf.DUMMYFUNCTION("""COMPUTED_VALUE"""),"5871, 5540, 5874, 5550, 5800, 5853")</f>
        <v>5871, 5540, 5874, 5550, 5800, 5853</v>
      </c>
      <c r="W12" s="2">
        <f ca="1">IFERROR(__xludf.DUMMYFUNCTION("""COMPUTED_VALUE"""),21)</f>
        <v>21</v>
      </c>
      <c r="X12" s="2" t="str">
        <f ca="1">IFERROR(__xludf.DUMMYFUNCTION("""COMPUTED_VALUE"""),"5871, 5290, 5350, 5550, 5800, 5853, 5540")</f>
        <v>5871, 5290, 5350, 5550, 5800, 5853, 5540</v>
      </c>
      <c r="Y12" s="2" t="str">
        <f ca="1">IFERROR(__xludf.DUMMYFUNCTION("""COMPUTED_VALUE"""),"ja")</f>
        <v>ja</v>
      </c>
      <c r="Z12" s="2" t="str">
        <f ca="1">IFERROR(__xludf.DUMMYFUNCTION("""COMPUTED_VALUE"""),"Han vil ringe tilbage")</f>
        <v>Han vil ringe tilbage</v>
      </c>
      <c r="AA12" s="25"/>
      <c r="AB12" s="2" t="str">
        <f ca="1">IFERROR(__xludf.DUMMYFUNCTION("""COMPUTED_VALUE"""),"x")</f>
        <v>x</v>
      </c>
      <c r="AC12" s="2"/>
      <c r="AD12" s="2" t="str">
        <f ca="1">IFERROR(__xludf.DUMMYFUNCTION("""COMPUTED_VALUE"""),"ja")</f>
        <v>ja</v>
      </c>
      <c r="AE12" s="2"/>
    </row>
    <row r="13" spans="1:33" ht="15.75" customHeight="1">
      <c r="A13" s="2" t="str">
        <f ca="1">IFERROR(__xludf.DUMMYFUNCTION("""COMPUTED_VALUE"""),"Christian")</f>
        <v>Christian</v>
      </c>
      <c r="B13" s="2" t="str">
        <f ca="1">IFERROR(__xludf.DUMMYFUNCTION("""COMPUTED_VALUE"""),"Nybolig Morsø")</f>
        <v>Nybolig Morsø</v>
      </c>
      <c r="C13" s="26">
        <f ca="1">IFERROR(__xludf.DUMMYFUNCTION("""COMPUTED_VALUE"""),32572928)</f>
        <v>32572928</v>
      </c>
      <c r="D13" s="26" t="str">
        <f ca="1">IFERROR(__xludf.DUMMYFUNCTION("""COMPUTED_VALUE"""),"MG-PM-JY: 1.949,-")</f>
        <v>MG-PM-JY: 1.949,-</v>
      </c>
      <c r="E13" s="26">
        <f ca="1">IFERROR(__xludf.DUMMYFUNCTION("""COMPUTED_VALUE"""),1203)</f>
        <v>1203</v>
      </c>
      <c r="F13" s="26" t="str">
        <f ca="1">IFERROR(__xludf.DUMMYFUNCTION("""COMPUTED_VALUE"""),"Ole Gørtler Laustsen, Ejendomsmægler")</f>
        <v>Ole Gørtler Laustsen, Ejendomsmægler</v>
      </c>
      <c r="G13" s="2" t="str">
        <f ca="1">IFERROR(__xludf.DUMMYFUNCTION("""COMPUTED_VALUE"""),"ogl@nybolig.dk")</f>
        <v>ogl@nybolig.dk</v>
      </c>
      <c r="H13" s="2"/>
      <c r="I13" s="2" t="str">
        <f ca="1">IFERROR(__xludf.DUMMYFUNCTION("""COMPUTED_VALUE"""),"Vestergade 10")</f>
        <v>Vestergade 10</v>
      </c>
      <c r="J13" s="2">
        <f ca="1">IFERROR(__xludf.DUMMYFUNCTION("""COMPUTED_VALUE"""),7900)</f>
        <v>7900</v>
      </c>
      <c r="K13" s="2" t="str">
        <f ca="1">IFERROR(__xludf.DUMMYFUNCTION("""COMPUTED_VALUE"""),"Nykøbing M")</f>
        <v>Nykøbing M</v>
      </c>
      <c r="L13" s="2" t="str">
        <f ca="1">IFERROR(__xludf.DUMMYFUNCTION("""COMPUTED_VALUE"""),"Morsø")</f>
        <v>Morsø</v>
      </c>
      <c r="M13" s="2" t="str">
        <f ca="1">IFERROR(__xludf.DUMMYFUNCTION("""COMPUTED_VALUE"""),"Nordjylland")</f>
        <v>Nordjylland</v>
      </c>
      <c r="N13" s="2" t="str">
        <f ca="1">IFERROR(__xludf.DUMMYFUNCTION("""COMPUTED_VALUE"""),"Nordjylland")</f>
        <v>Nordjylland</v>
      </c>
      <c r="O13" s="2" t="str">
        <f ca="1">IFERROR(__xludf.DUMMYFUNCTION("""COMPUTED_VALUE"""),"9772 3020")</f>
        <v>9772 3020</v>
      </c>
      <c r="P13" s="2" t="str">
        <f ca="1">IFERROR(__xludf.DUMMYFUNCTION("""COMPUTED_VALUE"""),"7900@nybolig.dk")</f>
        <v>7900@nybolig.dk</v>
      </c>
      <c r="Q13" s="27" t="str">
        <f ca="1">IFERROR(__xludf.DUMMYFUNCTION("""COMPUTED_VALUE"""),"https://www.boliga.dk/maegler/150")</f>
        <v>https://www.boliga.dk/maegler/150</v>
      </c>
      <c r="R13" s="2" t="str">
        <f ca="1">IFERROR(__xludf.DUMMYFUNCTION("""COMPUTED_VALUE"""),"7900, 7950, 7960, 7970, 7980, 7990")</f>
        <v>7900, 7950, 7960, 7970, 7980, 7990</v>
      </c>
      <c r="S13" s="29">
        <f ca="1">IFERROR(__xludf.DUMMYFUNCTION("""COMPUTED_VALUE"""),43759)</f>
        <v>43759</v>
      </c>
      <c r="T13" s="2" t="str">
        <f ca="1">IFERROR(__xludf.DUMMYFUNCTION("""COMPUTED_VALUE"""),"-")</f>
        <v>-</v>
      </c>
      <c r="U13" s="2">
        <f ca="1">IFERROR(__xludf.DUMMYFUNCTION("""COMPUTED_VALUE"""),55)</f>
        <v>55</v>
      </c>
      <c r="V13" s="2" t="str">
        <f ca="1">IFERROR(__xludf.DUMMYFUNCTION("""COMPUTED_VALUE"""),"7960, 7950, 7990, 7900, 7970, 7980")</f>
        <v>7960, 7950, 7990, 7900, 7970, 7980</v>
      </c>
      <c r="W13" s="2">
        <f ca="1">IFERROR(__xludf.DUMMYFUNCTION("""COMPUTED_VALUE"""),22)</f>
        <v>22</v>
      </c>
      <c r="X13" s="2" t="str">
        <f ca="1">IFERROR(__xludf.DUMMYFUNCTION("""COMPUTED_VALUE"""),"7990, 7950, 7900")</f>
        <v>7990, 7950, 7900</v>
      </c>
      <c r="Y13" s="2" t="str">
        <f ca="1">IFERROR(__xludf.DUMMYFUNCTION("""COMPUTED_VALUE"""),"ja")</f>
        <v>ja</v>
      </c>
      <c r="Z13" s="2" t="str">
        <f ca="1">IFERROR(__xludf.DUMMYFUNCTION("""COMPUTED_VALUE"""),"Skal lige vende den med sin partner")</f>
        <v>Skal lige vende den med sin partner</v>
      </c>
      <c r="AA13" s="25"/>
      <c r="AB13" s="2" t="str">
        <f ca="1">IFERROR(__xludf.DUMMYFUNCTION("""COMPUTED_VALUE"""),"x")</f>
        <v>x</v>
      </c>
      <c r="AC13" s="2" t="str">
        <f ca="1">IFERROR(__xludf.DUMMYFUNCTION("""COMPUTED_VALUE"""),"x")</f>
        <v>x</v>
      </c>
      <c r="AD13" s="2" t="str">
        <f ca="1">IFERROR(__xludf.DUMMYFUNCTION("""COMPUTED_VALUE"""),"ja")</f>
        <v>ja</v>
      </c>
      <c r="AE13" s="2" t="str">
        <f ca="1">IFERROR(__xludf.DUMMYFUNCTION("""COMPUTED_VALUE"""),"4/4 Christian mente de ville fortsætte")</f>
        <v>4/4 Christian mente de ville fortsætte</v>
      </c>
    </row>
    <row r="14" spans="1:33" ht="15.75" customHeight="1">
      <c r="A14" s="2" t="str">
        <f ca="1">IFERROR(__xludf.DUMMYFUNCTION("""COMPUTED_VALUE"""),"Christian")</f>
        <v>Christian</v>
      </c>
      <c r="B14" s="2" t="str">
        <f ca="1">IFERROR(__xludf.DUMMYFUNCTION("""COMPUTED_VALUE"""),"Nybolig Blåvand")</f>
        <v>Nybolig Blåvand</v>
      </c>
      <c r="C14" s="26"/>
      <c r="D14" s="26" t="str">
        <f ca="1">IFERROR(__xludf.DUMMYFUNCTION("""COMPUTED_VALUE"""),"MG-PM-JY: 1.949,-")</f>
        <v>MG-PM-JY: 1.949,-</v>
      </c>
      <c r="E14" s="26">
        <f ca="1">IFERROR(__xludf.DUMMYFUNCTION("""COMPUTED_VALUE"""),1203)</f>
        <v>1203</v>
      </c>
      <c r="F14" s="26" t="str">
        <f ca="1">IFERROR(__xludf.DUMMYFUNCTION("""COMPUTED_VALUE"""),"Stine Lyngbo Ries, Indehaver")</f>
        <v>Stine Lyngbo Ries, Indehaver</v>
      </c>
      <c r="G14" s="2"/>
      <c r="H14" s="2"/>
      <c r="I14" s="2" t="str">
        <f ca="1">IFERROR(__xludf.DUMMYFUNCTION("""COMPUTED_VALUE"""),"Tane Hedevej 4")</f>
        <v>Tane Hedevej 4</v>
      </c>
      <c r="J14" s="2">
        <f ca="1">IFERROR(__xludf.DUMMYFUNCTION("""COMPUTED_VALUE"""),6857)</f>
        <v>6857</v>
      </c>
      <c r="K14" s="2" t="str">
        <f ca="1">IFERROR(__xludf.DUMMYFUNCTION("""COMPUTED_VALUE"""),"Blåvand")</f>
        <v>Blåvand</v>
      </c>
      <c r="L14" s="2" t="str">
        <f ca="1">IFERROR(__xludf.DUMMYFUNCTION("""COMPUTED_VALUE"""),"Varde")</f>
        <v>Varde</v>
      </c>
      <c r="M14" s="2" t="str">
        <f ca="1">IFERROR(__xludf.DUMMYFUNCTION("""COMPUTED_VALUE"""),"Sydjylland")</f>
        <v>Sydjylland</v>
      </c>
      <c r="N14" s="2" t="str">
        <f ca="1">IFERROR(__xludf.DUMMYFUNCTION("""COMPUTED_VALUE"""),"Syddanmark")</f>
        <v>Syddanmark</v>
      </c>
      <c r="O14" s="2" t="str">
        <f ca="1">IFERROR(__xludf.DUMMYFUNCTION("""COMPUTED_VALUE"""),"7527 9611")</f>
        <v>7527 9611</v>
      </c>
      <c r="P14" s="2" t="str">
        <f ca="1">IFERROR(__xludf.DUMMYFUNCTION("""COMPUTED_VALUE"""),"6857@nybolig.dk")</f>
        <v>6857@nybolig.dk</v>
      </c>
      <c r="Q14" s="27" t="str">
        <f ca="1">IFERROR(__xludf.DUMMYFUNCTION("""COMPUTED_VALUE"""),"https://www.boliga.dk/maegler/142")</f>
        <v>https://www.boliga.dk/maegler/142</v>
      </c>
      <c r="R14" s="2" t="str">
        <f ca="1">IFERROR(__xludf.DUMMYFUNCTION("""COMPUTED_VALUE"""),"6840, 6853, 6857")</f>
        <v>6840, 6853, 6857</v>
      </c>
      <c r="S14" s="29">
        <f ca="1">IFERROR(__xludf.DUMMYFUNCTION("""COMPUTED_VALUE"""),43770)</f>
        <v>43770</v>
      </c>
      <c r="T14" s="2" t="str">
        <f ca="1">IFERROR(__xludf.DUMMYFUNCTION("""COMPUTED_VALUE"""),"-")</f>
        <v>-</v>
      </c>
      <c r="U14" s="2">
        <f ca="1">IFERROR(__xludf.DUMMYFUNCTION("""COMPUTED_VALUE"""),30)</f>
        <v>30</v>
      </c>
      <c r="V14" s="2" t="str">
        <f ca="1">IFERROR(__xludf.DUMMYFUNCTION("""COMPUTED_VALUE"""),"6840, 6857, 6853")</f>
        <v>6840, 6857, 6853</v>
      </c>
      <c r="W14" s="2">
        <f ca="1">IFERROR(__xludf.DUMMYFUNCTION("""COMPUTED_VALUE"""),20)</f>
        <v>20</v>
      </c>
      <c r="X14" s="2" t="str">
        <f ca="1">IFERROR(__xludf.DUMMYFUNCTION("""COMPUTED_VALUE"""),"6857, 6840")</f>
        <v>6857, 6840</v>
      </c>
      <c r="Y14" s="2" t="str">
        <f ca="1">IFERROR(__xludf.DUMMYFUNCTION("""COMPUTED_VALUE"""),"ja")</f>
        <v>ja</v>
      </c>
      <c r="Z14" s="2"/>
      <c r="AA14" s="25"/>
      <c r="AB14" s="2" t="str">
        <f ca="1">IFERROR(__xludf.DUMMYFUNCTION("""COMPUTED_VALUE"""),"x")</f>
        <v>x</v>
      </c>
      <c r="AC14" s="2"/>
      <c r="AD14" s="2" t="str">
        <f ca="1">IFERROR(__xludf.DUMMYFUNCTION("""COMPUTED_VALUE"""),"ja")</f>
        <v>ja</v>
      </c>
      <c r="AE14" s="2" t="str">
        <f ca="1">IFERROR(__xludf.DUMMYFUNCTION("""COMPUTED_VALUE"""),"hun hædler mest til et ja, vil lige tage endelig beslutning og vender derefter tilbage - vil kun lave 1/2 års aftale da hun er lidt omkostningsbekymret")</f>
        <v>hun hædler mest til et ja, vil lige tage endelig beslutning og vender derefter tilbage - vil kun lave 1/2 års aftale da hun er lidt omkostningsbekymret</v>
      </c>
    </row>
    <row r="15" spans="1:33" ht="15.75" customHeight="1">
      <c r="A15" s="2" t="str">
        <f ca="1">IFERROR(__xludf.DUMMYFUNCTION("""COMPUTED_VALUE"""),"Christian")</f>
        <v>Christian</v>
      </c>
      <c r="B15" s="2" t="str">
        <f ca="1">IFERROR(__xludf.DUMMYFUNCTION("""COMPUTED_VALUE"""),"Nybolig Børkop &amp; Brejning")</f>
        <v>Nybolig Børkop &amp; Brejning</v>
      </c>
      <c r="C15" s="26">
        <f ca="1">IFERROR(__xludf.DUMMYFUNCTION("""COMPUTED_VALUE"""),35942130)</f>
        <v>35942130</v>
      </c>
      <c r="D15" s="26" t="str">
        <f ca="1">IFERROR(__xludf.DUMMYFUNCTION("""COMPUTED_VALUE"""),"MG-PM-JY: 1.949,-")</f>
        <v>MG-PM-JY: 1.949,-</v>
      </c>
      <c r="E15" s="26">
        <f ca="1">IFERROR(__xludf.DUMMYFUNCTION("""COMPUTED_VALUE"""),1203)</f>
        <v>1203</v>
      </c>
      <c r="F15" s="26" t="str">
        <f ca="1">IFERROR(__xludf.DUMMYFUNCTION("""COMPUTED_VALUE"""),"Charlotte Krintel, Indehaver, Ejendomsmægler MDE")</f>
        <v>Charlotte Krintel, Indehaver, Ejendomsmægler MDE</v>
      </c>
      <c r="G15" s="2" t="str">
        <f ca="1">IFERROR(__xludf.DUMMYFUNCTION("""COMPUTED_VALUE"""),"ckt@nybolig.dk")</f>
        <v>ckt@nybolig.dk</v>
      </c>
      <c r="H15" s="2"/>
      <c r="I15" s="2" t="str">
        <f ca="1">IFERROR(__xludf.DUMMYFUNCTION("""COMPUTED_VALUE"""),"Ny Boder 23B")</f>
        <v>Ny Boder 23B</v>
      </c>
      <c r="J15" s="2">
        <f ca="1">IFERROR(__xludf.DUMMYFUNCTION("""COMPUTED_VALUE"""),7080)</f>
        <v>7080</v>
      </c>
      <c r="K15" s="2" t="str">
        <f ca="1">IFERROR(__xludf.DUMMYFUNCTION("""COMPUTED_VALUE"""),"Børkop")</f>
        <v>Børkop</v>
      </c>
      <c r="L15" s="2" t="str">
        <f ca="1">IFERROR(__xludf.DUMMYFUNCTION("""COMPUTED_VALUE"""),"Vejle")</f>
        <v>Vejle</v>
      </c>
      <c r="M15" s="2" t="str">
        <f ca="1">IFERROR(__xludf.DUMMYFUNCTION("""COMPUTED_VALUE"""),"Sydjylland")</f>
        <v>Sydjylland</v>
      </c>
      <c r="N15" s="2" t="str">
        <f ca="1">IFERROR(__xludf.DUMMYFUNCTION("""COMPUTED_VALUE"""),"Syddanmark")</f>
        <v>Syddanmark</v>
      </c>
      <c r="O15" s="2" t="str">
        <f ca="1">IFERROR(__xludf.DUMMYFUNCTION("""COMPUTED_VALUE"""),"7621 4444")</f>
        <v>7621 4444</v>
      </c>
      <c r="P15" s="2" t="str">
        <f ca="1">IFERROR(__xludf.DUMMYFUNCTION("""COMPUTED_VALUE"""),"7080@nybolig.dk")</f>
        <v>7080@nybolig.dk</v>
      </c>
      <c r="Q15" s="27" t="str">
        <f ca="1">IFERROR(__xludf.DUMMYFUNCTION("""COMPUTED_VALUE"""),"https://www.boliga.dk/maegler/18703")</f>
        <v>https://www.boliga.dk/maegler/18703</v>
      </c>
      <c r="R15" s="2">
        <f ca="1">IFERROR(__xludf.DUMMYFUNCTION("""COMPUTED_VALUE"""),7080)</f>
        <v>7080</v>
      </c>
      <c r="S15" s="29">
        <f ca="1">IFERROR(__xludf.DUMMYFUNCTION("""COMPUTED_VALUE"""),43770)</f>
        <v>43770</v>
      </c>
      <c r="T15" s="2" t="str">
        <f ca="1">IFERROR(__xludf.DUMMYFUNCTION("""COMPUTED_VALUE"""),"-")</f>
        <v>-</v>
      </c>
      <c r="U15" s="2">
        <f ca="1">IFERROR(__xludf.DUMMYFUNCTION("""COMPUTED_VALUE"""),17)</f>
        <v>17</v>
      </c>
      <c r="V15" s="2">
        <f ca="1">IFERROR(__xludf.DUMMYFUNCTION("""COMPUTED_VALUE"""),7080)</f>
        <v>7080</v>
      </c>
      <c r="W15" s="2">
        <f ca="1">IFERROR(__xludf.DUMMYFUNCTION("""COMPUTED_VALUE"""),16)</f>
        <v>16</v>
      </c>
      <c r="X15" s="2" t="str">
        <f ca="1">IFERROR(__xludf.DUMMYFUNCTION("""COMPUTED_VALUE"""),"7080, 7000")</f>
        <v>7080, 7000</v>
      </c>
      <c r="Y15" s="2" t="str">
        <f ca="1">IFERROR(__xludf.DUMMYFUNCTION("""COMPUTED_VALUE"""),"ja")</f>
        <v>ja</v>
      </c>
      <c r="Z15" s="2"/>
      <c r="AA15" s="25"/>
      <c r="AB15" s="2" t="str">
        <f ca="1">IFERROR(__xludf.DUMMYFUNCTION("""COMPUTED_VALUE"""),"x")</f>
        <v>x</v>
      </c>
      <c r="AC15" s="2"/>
      <c r="AD15" s="2" t="str">
        <f ca="1">IFERROR(__xludf.DUMMYFUNCTION("""COMPUTED_VALUE"""),"ja")</f>
        <v>ja</v>
      </c>
      <c r="AE15" s="2"/>
    </row>
    <row r="16" spans="1:33" ht="15.75" customHeight="1">
      <c r="A16" s="2" t="str">
        <f ca="1">IFERROR(__xludf.DUMMYFUNCTION("""COMPUTED_VALUE"""),"Christian")</f>
        <v>Christian</v>
      </c>
      <c r="B16" s="2" t="str">
        <f ca="1">IFERROR(__xludf.DUMMYFUNCTION("""COMPUTED_VALUE"""),"Nybolig Ribe")</f>
        <v>Nybolig Ribe</v>
      </c>
      <c r="C16" s="26">
        <f ca="1">IFERROR(__xludf.DUMMYFUNCTION("""COMPUTED_VALUE"""),34381569)</f>
        <v>34381569</v>
      </c>
      <c r="D16" s="26" t="str">
        <f ca="1">IFERROR(__xludf.DUMMYFUNCTION("""COMPUTED_VALUE"""),"MG-PM-JY: 1.949,-")</f>
        <v>MG-PM-JY: 1.949,-</v>
      </c>
      <c r="E16" s="26">
        <f ca="1">IFERROR(__xludf.DUMMYFUNCTION("""COMPUTED_VALUE"""),1203)</f>
        <v>1203</v>
      </c>
      <c r="F16" s="26" t="str">
        <f ca="1">IFERROR(__xludf.DUMMYFUNCTION("""COMPUTED_VALUE"""),"Lars Schack Jessen, Indehaver, Ejendomsmægler")</f>
        <v>Lars Schack Jessen, Indehaver, Ejendomsmægler</v>
      </c>
      <c r="G16" s="2" t="str">
        <f ca="1">IFERROR(__xludf.DUMMYFUNCTION("""COMPUTED_VALUE"""),"lsc@nybolig.dk")</f>
        <v>lsc@nybolig.dk</v>
      </c>
      <c r="H16" s="2"/>
      <c r="I16" s="2" t="str">
        <f ca="1">IFERROR(__xludf.DUMMYFUNCTION("""COMPUTED_VALUE"""),"Seminarievej 12 C")</f>
        <v>Seminarievej 12 C</v>
      </c>
      <c r="J16" s="2">
        <f ca="1">IFERROR(__xludf.DUMMYFUNCTION("""COMPUTED_VALUE"""),6760)</f>
        <v>6760</v>
      </c>
      <c r="K16" s="2" t="str">
        <f ca="1">IFERROR(__xludf.DUMMYFUNCTION("""COMPUTED_VALUE"""),"Ribe")</f>
        <v>Ribe</v>
      </c>
      <c r="L16" s="2" t="str">
        <f ca="1">IFERROR(__xludf.DUMMYFUNCTION("""COMPUTED_VALUE"""),"Esbjerg")</f>
        <v>Esbjerg</v>
      </c>
      <c r="M16" s="2" t="str">
        <f ca="1">IFERROR(__xludf.DUMMYFUNCTION("""COMPUTED_VALUE"""),"Sydjylland")</f>
        <v>Sydjylland</v>
      </c>
      <c r="N16" s="2" t="str">
        <f ca="1">IFERROR(__xludf.DUMMYFUNCTION("""COMPUTED_VALUE"""),"Syddanmark")</f>
        <v>Syddanmark</v>
      </c>
      <c r="O16" s="2" t="str">
        <f ca="1">IFERROR(__xludf.DUMMYFUNCTION("""COMPUTED_VALUE"""),"7541 0067")</f>
        <v>7541 0067</v>
      </c>
      <c r="P16" s="2" t="str">
        <f ca="1">IFERROR(__xludf.DUMMYFUNCTION("""COMPUTED_VALUE"""),"6760@nybolig.dk")</f>
        <v>6760@nybolig.dk</v>
      </c>
      <c r="Q16" s="27" t="str">
        <f ca="1">IFERROR(__xludf.DUMMYFUNCTION("""COMPUTED_VALUE"""),"https://www.boliga.dk/maegler/17485")</f>
        <v>https://www.boliga.dk/maegler/17485</v>
      </c>
      <c r="R16" s="2" t="str">
        <f ca="1">IFERROR(__xludf.DUMMYFUNCTION("""COMPUTED_VALUE"""),"6690, 6760, 6771")</f>
        <v>6690, 6760, 6771</v>
      </c>
      <c r="S16" s="29">
        <f ca="1">IFERROR(__xludf.DUMMYFUNCTION("""COMPUTED_VALUE"""),43774)</f>
        <v>43774</v>
      </c>
      <c r="T16" s="2" t="str">
        <f ca="1">IFERROR(__xludf.DUMMYFUNCTION("""COMPUTED_VALUE"""),"-")</f>
        <v>-</v>
      </c>
      <c r="U16" s="2">
        <f ca="1">IFERROR(__xludf.DUMMYFUNCTION("""COMPUTED_VALUE"""),22)</f>
        <v>22</v>
      </c>
      <c r="V16" s="2" t="str">
        <f ca="1">IFERROR(__xludf.DUMMYFUNCTION("""COMPUTED_VALUE"""),"6760, 6630, 6771, 6510, 6740")</f>
        <v>6760, 6630, 6771, 6510, 6740</v>
      </c>
      <c r="W16" s="2">
        <f ca="1">IFERROR(__xludf.DUMMYFUNCTION("""COMPUTED_VALUE"""),16)</f>
        <v>16</v>
      </c>
      <c r="X16" s="2" t="str">
        <f ca="1">IFERROR(__xludf.DUMMYFUNCTION("""COMPUTED_VALUE"""),"6760, 6771")</f>
        <v>6760, 6771</v>
      </c>
      <c r="Y16" s="2" t="str">
        <f ca="1">IFERROR(__xludf.DUMMYFUNCTION("""COMPUTED_VALUE"""),"ja")</f>
        <v>ja</v>
      </c>
      <c r="Z16" s="2"/>
      <c r="AA16" s="25"/>
      <c r="AB16" s="2" t="str">
        <f ca="1">IFERROR(__xludf.DUMMYFUNCTION("""COMPUTED_VALUE"""),"x")</f>
        <v>x</v>
      </c>
      <c r="AC16" s="2" t="str">
        <f ca="1">IFERROR(__xludf.DUMMYFUNCTION("""COMPUTED_VALUE"""),"x")</f>
        <v>x</v>
      </c>
      <c r="AD16" s="2" t="str">
        <f ca="1">IFERROR(__xludf.DUMMYFUNCTION("""COMPUTED_VALUE"""),"ja")</f>
        <v>ja</v>
      </c>
      <c r="AE16" s="2"/>
    </row>
    <row r="17" spans="1:31" ht="15.75" customHeight="1">
      <c r="A17" s="2" t="str">
        <f ca="1">IFERROR(__xludf.DUMMYFUNCTION("""COMPUTED_VALUE"""),"Christian")</f>
        <v>Christian</v>
      </c>
      <c r="B17" s="2" t="str">
        <f ca="1">IFERROR(__xludf.DUMMYFUNCTION("""COMPUTED_VALUE"""),"Nybolig Fanø")</f>
        <v>Nybolig Fanø</v>
      </c>
      <c r="C17" s="26"/>
      <c r="D17" s="26" t="str">
        <f ca="1">IFERROR(__xludf.DUMMYFUNCTION("""COMPUTED_VALUE"""),"MG-PM-JY: 1.949,-")</f>
        <v>MG-PM-JY: 1.949,-</v>
      </c>
      <c r="E17" s="26">
        <f ca="1">IFERROR(__xludf.DUMMYFUNCTION("""COMPUTED_VALUE"""),1203)</f>
        <v>1203</v>
      </c>
      <c r="F17" s="26" t="str">
        <f ca="1">IFERROR(__xludf.DUMMYFUNCTION("""COMPUTED_VALUE"""),"Kristin Martinsen, Indehaver, Ejendomsmægler, MDE")</f>
        <v>Kristin Martinsen, Indehaver, Ejendomsmægler, MDE</v>
      </c>
      <c r="G17" s="2" t="str">
        <f ca="1">IFERROR(__xludf.DUMMYFUNCTION("""COMPUTED_VALUE"""),"kri@nybolig.dk")</f>
        <v>kri@nybolig.dk</v>
      </c>
      <c r="H17" s="2"/>
      <c r="I17" s="2" t="str">
        <f ca="1">IFERROR(__xludf.DUMMYFUNCTION("""COMPUTED_VALUE"""),"Hovedgaden 54")</f>
        <v>Hovedgaden 54</v>
      </c>
      <c r="J17" s="2">
        <f ca="1">IFERROR(__xludf.DUMMYFUNCTION("""COMPUTED_VALUE"""),6720)</f>
        <v>6720</v>
      </c>
      <c r="K17" s="2" t="str">
        <f ca="1">IFERROR(__xludf.DUMMYFUNCTION("""COMPUTED_VALUE"""),"Fanø")</f>
        <v>Fanø</v>
      </c>
      <c r="L17" s="2" t="str">
        <f ca="1">IFERROR(__xludf.DUMMYFUNCTION("""COMPUTED_VALUE"""),"Fanø")</f>
        <v>Fanø</v>
      </c>
      <c r="M17" s="2" t="str">
        <f ca="1">IFERROR(__xludf.DUMMYFUNCTION("""COMPUTED_VALUE"""),"Sydjylland")</f>
        <v>Sydjylland</v>
      </c>
      <c r="N17" s="2" t="str">
        <f ca="1">IFERROR(__xludf.DUMMYFUNCTION("""COMPUTED_VALUE"""),"Syddanmark")</f>
        <v>Syddanmark</v>
      </c>
      <c r="O17" s="2" t="str">
        <f ca="1">IFERROR(__xludf.DUMMYFUNCTION("""COMPUTED_VALUE"""),"7516 1011")</f>
        <v>7516 1011</v>
      </c>
      <c r="P17" s="2" t="str">
        <f ca="1">IFERROR(__xludf.DUMMYFUNCTION("""COMPUTED_VALUE"""),"6720@nybolig.dk")</f>
        <v>6720@nybolig.dk</v>
      </c>
      <c r="Q17" s="27" t="str">
        <f ca="1">IFERROR(__xludf.DUMMYFUNCTION("""COMPUTED_VALUE"""),"https://www.boliga.dk/maegler/143")</f>
        <v>https://www.boliga.dk/maegler/143</v>
      </c>
      <c r="R17" s="2">
        <f ca="1">IFERROR(__xludf.DUMMYFUNCTION("""COMPUTED_VALUE"""),6720)</f>
        <v>6720</v>
      </c>
      <c r="S17" s="29">
        <f ca="1">IFERROR(__xludf.DUMMYFUNCTION("""COMPUTED_VALUE"""),43777)</f>
        <v>43777</v>
      </c>
      <c r="T17" s="2" t="str">
        <f ca="1">IFERROR(__xludf.DUMMYFUNCTION("""COMPUTED_VALUE"""),"-")</f>
        <v>-</v>
      </c>
      <c r="U17" s="2">
        <f ca="1">IFERROR(__xludf.DUMMYFUNCTION("""COMPUTED_VALUE"""),34)</f>
        <v>34</v>
      </c>
      <c r="V17" s="2">
        <f ca="1">IFERROR(__xludf.DUMMYFUNCTION("""COMPUTED_VALUE"""),6720)</f>
        <v>6720</v>
      </c>
      <c r="W17" s="2">
        <f ca="1">IFERROR(__xludf.DUMMYFUNCTION("""COMPUTED_VALUE"""),26)</f>
        <v>26</v>
      </c>
      <c r="X17" s="2">
        <f ca="1">IFERROR(__xludf.DUMMYFUNCTION("""COMPUTED_VALUE"""),6720)</f>
        <v>6720</v>
      </c>
      <c r="Y17" s="2" t="str">
        <f ca="1">IFERROR(__xludf.DUMMYFUNCTION("""COMPUTED_VALUE"""),"ja")</f>
        <v>ja</v>
      </c>
      <c r="Z17" s="2"/>
      <c r="AA17" s="25"/>
      <c r="AB17" s="2" t="str">
        <f ca="1">IFERROR(__xludf.DUMMYFUNCTION("""COMPUTED_VALUE"""),"x")</f>
        <v>x</v>
      </c>
      <c r="AC17" s="2" t="str">
        <f ca="1">IFERROR(__xludf.DUMMYFUNCTION("""COMPUTED_VALUE"""),"x")</f>
        <v>x</v>
      </c>
      <c r="AD17" s="2" t="str">
        <f ca="1">IFERROR(__xludf.DUMMYFUNCTION("""COMPUTED_VALUE"""),"ja")</f>
        <v>ja</v>
      </c>
      <c r="AE17" s="2"/>
    </row>
    <row r="18" spans="1:31" ht="15.75" customHeight="1">
      <c r="A18" s="2" t="str">
        <f ca="1">IFERROR(__xludf.DUMMYFUNCTION("""COMPUTED_VALUE"""),"Christian")</f>
        <v>Christian</v>
      </c>
      <c r="B18" s="2" t="str">
        <f ca="1">IFERROR(__xludf.DUMMYFUNCTION("""COMPUTED_VALUE"""),"Nybolig Struer")</f>
        <v>Nybolig Struer</v>
      </c>
      <c r="C18" s="26">
        <f ca="1">IFERROR(__xludf.DUMMYFUNCTION("""COMPUTED_VALUE"""),33995369)</f>
        <v>33995369</v>
      </c>
      <c r="D18" s="26" t="str">
        <f ca="1">IFERROR(__xludf.DUMMYFUNCTION("""COMPUTED_VALUE"""),"MG-PM-JY: 1.949,-")</f>
        <v>MG-PM-JY: 1.949,-</v>
      </c>
      <c r="E18" s="26">
        <f ca="1">IFERROR(__xludf.DUMMYFUNCTION("""COMPUTED_VALUE"""),1203)</f>
        <v>1203</v>
      </c>
      <c r="F18" s="26" t="str">
        <f ca="1">IFERROR(__xludf.DUMMYFUNCTION("""COMPUTED_VALUE"""),"Jesper Gammelmark, Indehaver")</f>
        <v>Jesper Gammelmark, Indehaver</v>
      </c>
      <c r="G18" s="2" t="str">
        <f ca="1">IFERROR(__xludf.DUMMYFUNCTION("""COMPUTED_VALUE"""),"jfg@nybolig.dk")</f>
        <v>jfg@nybolig.dk</v>
      </c>
      <c r="H18" s="2"/>
      <c r="I18" s="2" t="str">
        <f ca="1">IFERROR(__xludf.DUMMYFUNCTION("""COMPUTED_VALUE"""),"Vestergade 4, st.")</f>
        <v>Vestergade 4, st.</v>
      </c>
      <c r="J18" s="2">
        <f ca="1">IFERROR(__xludf.DUMMYFUNCTION("""COMPUTED_VALUE"""),7600)</f>
        <v>7600</v>
      </c>
      <c r="K18" s="2" t="str">
        <f ca="1">IFERROR(__xludf.DUMMYFUNCTION("""COMPUTED_VALUE"""),"Struer")</f>
        <v>Struer</v>
      </c>
      <c r="L18" s="2" t="str">
        <f ca="1">IFERROR(__xludf.DUMMYFUNCTION("""COMPUTED_VALUE"""),"Struer")</f>
        <v>Struer</v>
      </c>
      <c r="M18" s="2" t="str">
        <f ca="1">IFERROR(__xludf.DUMMYFUNCTION("""COMPUTED_VALUE"""),"Vestjylland")</f>
        <v>Vestjylland</v>
      </c>
      <c r="N18" s="2" t="str">
        <f ca="1">IFERROR(__xludf.DUMMYFUNCTION("""COMPUTED_VALUE"""),"Midtjylland")</f>
        <v>Midtjylland</v>
      </c>
      <c r="O18" s="2" t="str">
        <f ca="1">IFERROR(__xludf.DUMMYFUNCTION("""COMPUTED_VALUE"""),"9785 5555")</f>
        <v>9785 5555</v>
      </c>
      <c r="P18" s="2" t="str">
        <f ca="1">IFERROR(__xludf.DUMMYFUNCTION("""COMPUTED_VALUE"""),"7600@nybolig.dk")</f>
        <v>7600@nybolig.dk</v>
      </c>
      <c r="Q18" s="27" t="str">
        <f ca="1">IFERROR(__xludf.DUMMYFUNCTION("""COMPUTED_VALUE"""),"https://www.boliga.dk/maegler/775")</f>
        <v>https://www.boliga.dk/maegler/775</v>
      </c>
      <c r="R18" s="2" t="str">
        <f ca="1">IFERROR(__xludf.DUMMYFUNCTION("""COMPUTED_VALUE"""),"7600, 7560, 7790, 7830, 7570, 6990")</f>
        <v>7600, 7560, 7790, 7830, 7570, 6990</v>
      </c>
      <c r="S18" s="29">
        <f ca="1">IFERROR(__xludf.DUMMYFUNCTION("""COMPUTED_VALUE"""),43782)</f>
        <v>43782</v>
      </c>
      <c r="T18" s="2" t="str">
        <f ca="1">IFERROR(__xludf.DUMMYFUNCTION("""COMPUTED_VALUE"""),"-")</f>
        <v>-</v>
      </c>
      <c r="U18" s="2">
        <f ca="1">IFERROR(__xludf.DUMMYFUNCTION("""COMPUTED_VALUE"""),65)</f>
        <v>65</v>
      </c>
      <c r="V18" s="2" t="str">
        <f ca="1">IFERROR(__xludf.DUMMYFUNCTION("""COMPUTED_VALUE"""),"7600, 7790, 7830, 7560")</f>
        <v>7600, 7790, 7830, 7560</v>
      </c>
      <c r="W18" s="2">
        <f ca="1">IFERROR(__xludf.DUMMYFUNCTION("""COMPUTED_VALUE"""),33)</f>
        <v>33</v>
      </c>
      <c r="X18" s="2" t="str">
        <f ca="1">IFERROR(__xludf.DUMMYFUNCTION("""COMPUTED_VALUE"""),"7600, 7790, 7830, 7560")</f>
        <v>7600, 7790, 7830, 7560</v>
      </c>
      <c r="Y18" s="2" t="str">
        <f ca="1">IFERROR(__xludf.DUMMYFUNCTION("""COMPUTED_VALUE"""),"ja")</f>
        <v>ja</v>
      </c>
      <c r="Z18" s="2" t="str">
        <f ca="1">IFERROR(__xludf.DUMMYFUNCTION("""COMPUTED_VALUE"""),"Jesper ligger syg med corona - Lagt besked om at han skal ringe til mig")</f>
        <v>Jesper ligger syg med corona - Lagt besked om at han skal ringe til mig</v>
      </c>
      <c r="AA18" s="25"/>
      <c r="AB18" s="2" t="str">
        <f ca="1">IFERROR(__xludf.DUMMYFUNCTION("""COMPUTED_VALUE"""),"x")</f>
        <v>x</v>
      </c>
      <c r="AC18" s="2"/>
      <c r="AD18" s="2" t="str">
        <f ca="1">IFERROR(__xludf.DUMMYFUNCTION("""COMPUTED_VALUE"""),"ja")</f>
        <v>ja</v>
      </c>
      <c r="AE18" s="2"/>
    </row>
    <row r="19" spans="1:31" ht="15.75" customHeight="1">
      <c r="A19" s="2" t="str">
        <f ca="1">IFERROR(__xludf.DUMMYFUNCTION("""COMPUTED_VALUE"""),"Christian")</f>
        <v>Christian</v>
      </c>
      <c r="B19" s="2" t="str">
        <f ca="1">IFERROR(__xludf.DUMMYFUNCTION("""COMPUTED_VALUE"""),"Nybolig Ulfborg")</f>
        <v>Nybolig Ulfborg</v>
      </c>
      <c r="C19" s="26">
        <f ca="1">IFERROR(__xludf.DUMMYFUNCTION("""COMPUTED_VALUE"""),33995369)</f>
        <v>33995369</v>
      </c>
      <c r="D19" s="26" t="str">
        <f ca="1">IFERROR(__xludf.DUMMYFUNCTION("""COMPUTED_VALUE"""),"MG-PM-JY: 1.949,-")</f>
        <v>MG-PM-JY: 1.949,-</v>
      </c>
      <c r="E19" s="26">
        <f ca="1">IFERROR(__xludf.DUMMYFUNCTION("""COMPUTED_VALUE"""),1203)</f>
        <v>1203</v>
      </c>
      <c r="F19" s="26" t="str">
        <f ca="1">IFERROR(__xludf.DUMMYFUNCTION("""COMPUTED_VALUE"""),"Jesper Gammelmark, Indehaver")</f>
        <v>Jesper Gammelmark, Indehaver</v>
      </c>
      <c r="G19" s="2" t="str">
        <f ca="1">IFERROR(__xludf.DUMMYFUNCTION("""COMPUTED_VALUE"""),"jfg@nybolig.dk")</f>
        <v>jfg@nybolig.dk</v>
      </c>
      <c r="H19" s="2"/>
      <c r="I19" s="2" t="str">
        <f ca="1">IFERROR(__xludf.DUMMYFUNCTION("""COMPUTED_VALUE"""),"Holmegade 4")</f>
        <v>Holmegade 4</v>
      </c>
      <c r="J19" s="2">
        <f ca="1">IFERROR(__xludf.DUMMYFUNCTION("""COMPUTED_VALUE"""),6990)</f>
        <v>6990</v>
      </c>
      <c r="K19" s="2" t="str">
        <f ca="1">IFERROR(__xludf.DUMMYFUNCTION("""COMPUTED_VALUE"""),"Ulfborg")</f>
        <v>Ulfborg</v>
      </c>
      <c r="L19" s="2" t="str">
        <f ca="1">IFERROR(__xludf.DUMMYFUNCTION("""COMPUTED_VALUE"""),"Holstebro")</f>
        <v>Holstebro</v>
      </c>
      <c r="M19" s="2" t="str">
        <f ca="1">IFERROR(__xludf.DUMMYFUNCTION("""COMPUTED_VALUE"""),"Vestjylland")</f>
        <v>Vestjylland</v>
      </c>
      <c r="N19" s="2" t="str">
        <f ca="1">IFERROR(__xludf.DUMMYFUNCTION("""COMPUTED_VALUE"""),"Midtjylland")</f>
        <v>Midtjylland</v>
      </c>
      <c r="O19" s="2" t="str">
        <f ca="1">IFERROR(__xludf.DUMMYFUNCTION("""COMPUTED_VALUE"""),"9749 2311")</f>
        <v>9749 2311</v>
      </c>
      <c r="P19" s="2" t="str">
        <f ca="1">IFERROR(__xludf.DUMMYFUNCTION("""COMPUTED_VALUE"""),"6990@nybolig.dk")</f>
        <v>6990@nybolig.dk</v>
      </c>
      <c r="Q19" s="27" t="str">
        <f ca="1">IFERROR(__xludf.DUMMYFUNCTION("""COMPUTED_VALUE"""),"https://www.boliga.dk/maegler/101")</f>
        <v>https://www.boliga.dk/maegler/101</v>
      </c>
      <c r="R19" s="2" t="str">
        <f ca="1">IFERROR(__xludf.DUMMYFUNCTION("""COMPUTED_VALUE"""),"7600, 7560, 7790, 7830, 7570, 6990")</f>
        <v>7600, 7560, 7790, 7830, 7570, 6990</v>
      </c>
      <c r="S19" s="28">
        <f ca="1">IFERROR(__xludf.DUMMYFUNCTION("""COMPUTED_VALUE"""),43782)</f>
        <v>43782</v>
      </c>
      <c r="T19" s="2" t="str">
        <f ca="1">IFERROR(__xludf.DUMMYFUNCTION("""COMPUTED_VALUE"""),"-")</f>
        <v>-</v>
      </c>
      <c r="U19" s="2">
        <f ca="1">IFERROR(__xludf.DUMMYFUNCTION("""COMPUTED_VALUE"""),23)</f>
        <v>23</v>
      </c>
      <c r="V19" s="2" t="str">
        <f ca="1">IFERROR(__xludf.DUMMYFUNCTION("""COMPUTED_VALUE"""),"7570, 6990")</f>
        <v>7570, 6990</v>
      </c>
      <c r="W19" s="2">
        <f ca="1">IFERROR(__xludf.DUMMYFUNCTION("""COMPUTED_VALUE"""),15)</f>
        <v>15</v>
      </c>
      <c r="X19" s="2" t="str">
        <f ca="1">IFERROR(__xludf.DUMMYFUNCTION("""COMPUTED_VALUE"""),"6980, 6990")</f>
        <v>6980, 6990</v>
      </c>
      <c r="Y19" s="2" t="str">
        <f ca="1">IFERROR(__xludf.DUMMYFUNCTION("""COMPUTED_VALUE"""),"ja")</f>
        <v>ja</v>
      </c>
      <c r="Z19" s="2" t="str">
        <f ca="1">IFERROR(__xludf.DUMMYFUNCTION("""COMPUTED_VALUE"""),"Se Nybolig Struer")</f>
        <v>Se Nybolig Struer</v>
      </c>
      <c r="AA19" s="25"/>
      <c r="AB19" s="2" t="str">
        <f ca="1">IFERROR(__xludf.DUMMYFUNCTION("""COMPUTED_VALUE"""),"x")</f>
        <v>x</v>
      </c>
      <c r="AC19" s="2"/>
      <c r="AD19" s="2" t="str">
        <f ca="1">IFERROR(__xludf.DUMMYFUNCTION("""COMPUTED_VALUE"""),"ja")</f>
        <v>ja</v>
      </c>
      <c r="AE19" s="2"/>
    </row>
    <row r="20" spans="1:31" ht="15.75" customHeight="1">
      <c r="A20" s="2" t="str">
        <f ca="1">IFERROR(__xludf.DUMMYFUNCTION("""COMPUTED_VALUE"""),"Christian")</f>
        <v>Christian</v>
      </c>
      <c r="B20" s="2" t="str">
        <f ca="1">IFERROR(__xludf.DUMMYFUNCTION("""COMPUTED_VALUE"""),"Nybolig Vesthimmerland - Løgstør")</f>
        <v>Nybolig Vesthimmerland - Løgstør</v>
      </c>
      <c r="C20" s="26"/>
      <c r="D20" s="26" t="str">
        <f ca="1">IFERROR(__xludf.DUMMYFUNCTION("""COMPUTED_VALUE"""),"MG-PM-JY: 1.949,-")</f>
        <v>MG-PM-JY: 1.949,-</v>
      </c>
      <c r="E20" s="26">
        <f ca="1">IFERROR(__xludf.DUMMYFUNCTION("""COMPUTED_VALUE"""),1203)</f>
        <v>1203</v>
      </c>
      <c r="F20" s="26" t="str">
        <f ca="1">IFERROR(__xludf.DUMMYFUNCTION("""COMPUTED_VALUE"""),"Louise Lund Grynderup Indehaver, Ejendomsmægler")</f>
        <v>Louise Lund Grynderup Indehaver, Ejendomsmægler</v>
      </c>
      <c r="G20" s="2"/>
      <c r="H20" s="2"/>
      <c r="I20" s="2" t="str">
        <f ca="1">IFERROR(__xludf.DUMMYFUNCTION("""COMPUTED_VALUE"""),"Fischersgade 1")</f>
        <v>Fischersgade 1</v>
      </c>
      <c r="J20" s="2">
        <f ca="1">IFERROR(__xludf.DUMMYFUNCTION("""COMPUTED_VALUE"""),9670)</f>
        <v>9670</v>
      </c>
      <c r="K20" s="2" t="str">
        <f ca="1">IFERROR(__xludf.DUMMYFUNCTION("""COMPUTED_VALUE"""),"Løgstør")</f>
        <v>Løgstør</v>
      </c>
      <c r="L20" s="2" t="str">
        <f ca="1">IFERROR(__xludf.DUMMYFUNCTION("""COMPUTED_VALUE"""),"Vesthimmerlands")</f>
        <v>Vesthimmerlands</v>
      </c>
      <c r="M20" s="2" t="str">
        <f ca="1">IFERROR(__xludf.DUMMYFUNCTION("""COMPUTED_VALUE"""),"Nordjylland")</f>
        <v>Nordjylland</v>
      </c>
      <c r="N20" s="2" t="str">
        <f ca="1">IFERROR(__xludf.DUMMYFUNCTION("""COMPUTED_VALUE"""),"Nordjylland")</f>
        <v>Nordjylland</v>
      </c>
      <c r="O20" s="2" t="str">
        <f ca="1">IFERROR(__xludf.DUMMYFUNCTION("""COMPUTED_VALUE"""),"9867 1488")</f>
        <v>9867 1488</v>
      </c>
      <c r="P20" s="2" t="str">
        <f ca="1">IFERROR(__xludf.DUMMYFUNCTION("""COMPUTED_VALUE"""),"9670@nybolig.dk")</f>
        <v>9670@nybolig.dk</v>
      </c>
      <c r="Q20" s="27" t="str">
        <f ca="1">IFERROR(__xludf.DUMMYFUNCTION("""COMPUTED_VALUE"""),"https://www.boliga.dk/maegler/168")</f>
        <v>https://www.boliga.dk/maegler/168</v>
      </c>
      <c r="R20" s="2" t="str">
        <f ca="1">IFERROR(__xludf.DUMMYFUNCTION("""COMPUTED_VALUE"""),"9670, 9681")</f>
        <v>9670, 9681</v>
      </c>
      <c r="S20" s="28">
        <f ca="1">IFERROR(__xludf.DUMMYFUNCTION("""COMPUTED_VALUE"""),43783)</f>
        <v>43783</v>
      </c>
      <c r="T20" s="2" t="str">
        <f ca="1">IFERROR(__xludf.DUMMYFUNCTION("""COMPUTED_VALUE"""),"-")</f>
        <v>-</v>
      </c>
      <c r="U20" s="2">
        <f ca="1">IFERROR(__xludf.DUMMYFUNCTION("""COMPUTED_VALUE"""),58)</f>
        <v>58</v>
      </c>
      <c r="V20" s="2" t="str">
        <f ca="1">IFERROR(__xludf.DUMMYFUNCTION("""COMPUTED_VALUE"""),"9670, 9681")</f>
        <v>9670, 9681</v>
      </c>
      <c r="W20" s="2">
        <f ca="1">IFERROR(__xludf.DUMMYFUNCTION("""COMPUTED_VALUE"""),15)</f>
        <v>15</v>
      </c>
      <c r="X20" s="2">
        <f ca="1">IFERROR(__xludf.DUMMYFUNCTION("""COMPUTED_VALUE"""),9670)</f>
        <v>9670</v>
      </c>
      <c r="Y20" s="2" t="str">
        <f ca="1">IFERROR(__xludf.DUMMYFUNCTION("""COMPUTED_VALUE"""),"ja")</f>
        <v>ja</v>
      </c>
      <c r="Z20" s="2"/>
      <c r="AA20" s="25"/>
      <c r="AB20" s="2" t="str">
        <f ca="1">IFERROR(__xludf.DUMMYFUNCTION("""COMPUTED_VALUE"""),"x")</f>
        <v>x</v>
      </c>
      <c r="AC20" s="2"/>
      <c r="AD20" s="2" t="str">
        <f ca="1">IFERROR(__xludf.DUMMYFUNCTION("""COMPUTED_VALUE"""),"ja")</f>
        <v>ja</v>
      </c>
      <c r="AE20" s="2"/>
    </row>
    <row r="21" spans="1:31" ht="15.75" customHeight="1">
      <c r="A21" s="2" t="str">
        <f ca="1">IFERROR(__xludf.DUMMYFUNCTION("""COMPUTED_VALUE"""),"Christian")</f>
        <v>Christian</v>
      </c>
      <c r="B21" s="2" t="str">
        <f ca="1">IFERROR(__xludf.DUMMYFUNCTION("""COMPUTED_VALUE"""),"Nybolig Vesthimmerland - Aars")</f>
        <v>Nybolig Vesthimmerland - Aars</v>
      </c>
      <c r="C21" s="26">
        <f ca="1">IFERROR(__xludf.DUMMYFUNCTION("""COMPUTED_VALUE"""),27844960)</f>
        <v>27844960</v>
      </c>
      <c r="D21" s="26" t="str">
        <f ca="1">IFERROR(__xludf.DUMMYFUNCTION("""COMPUTED_VALUE"""),"MG-PM-JY: 1.949,-")</f>
        <v>MG-PM-JY: 1.949,-</v>
      </c>
      <c r="E21" s="26">
        <f ca="1">IFERROR(__xludf.DUMMYFUNCTION("""COMPUTED_VALUE"""),1203)</f>
        <v>1203</v>
      </c>
      <c r="F21" s="26" t="str">
        <f ca="1">IFERROR(__xludf.DUMMYFUNCTION("""COMPUTED_VALUE"""),"Jacob Andersen Indehaver, Ejendomsmægler")</f>
        <v>Jacob Andersen Indehaver, Ejendomsmægler</v>
      </c>
      <c r="G21" s="2" t="str">
        <f ca="1">IFERROR(__xludf.DUMMYFUNCTION("""COMPUTED_VALUE"""),"jbr@nybolig.dk")</f>
        <v>jbr@nybolig.dk</v>
      </c>
      <c r="H21" s="2"/>
      <c r="I21" s="2" t="str">
        <f ca="1">IFERROR(__xludf.DUMMYFUNCTION("""COMPUTED_VALUE"""),"Himmerlandsgade 93")</f>
        <v>Himmerlandsgade 93</v>
      </c>
      <c r="J21" s="2">
        <f ca="1">IFERROR(__xludf.DUMMYFUNCTION("""COMPUTED_VALUE"""),9600)</f>
        <v>9600</v>
      </c>
      <c r="K21" s="2" t="str">
        <f ca="1">IFERROR(__xludf.DUMMYFUNCTION("""COMPUTED_VALUE"""),"Aars")</f>
        <v>Aars</v>
      </c>
      <c r="L21" s="2" t="str">
        <f ca="1">IFERROR(__xludf.DUMMYFUNCTION("""COMPUTED_VALUE"""),"Vesthimmerlands")</f>
        <v>Vesthimmerlands</v>
      </c>
      <c r="M21" s="2" t="str">
        <f ca="1">IFERROR(__xludf.DUMMYFUNCTION("""COMPUTED_VALUE"""),"Nordjylland")</f>
        <v>Nordjylland</v>
      </c>
      <c r="N21" s="2" t="str">
        <f ca="1">IFERROR(__xludf.DUMMYFUNCTION("""COMPUTED_VALUE"""),"Nordjylland")</f>
        <v>Nordjylland</v>
      </c>
      <c r="O21" s="2" t="str">
        <f ca="1">IFERROR(__xludf.DUMMYFUNCTION("""COMPUTED_VALUE"""),"9862 1400")</f>
        <v>9862 1400</v>
      </c>
      <c r="P21" s="2" t="str">
        <f ca="1">IFERROR(__xludf.DUMMYFUNCTION("""COMPUTED_VALUE"""),"9601@nybolig.dk")</f>
        <v>9601@nybolig.dk</v>
      </c>
      <c r="Q21" s="27" t="str">
        <f ca="1">IFERROR(__xludf.DUMMYFUNCTION("""COMPUTED_VALUE"""),"https://www.boliga.dk/maegler/835")</f>
        <v>https://www.boliga.dk/maegler/835</v>
      </c>
      <c r="R21" s="2" t="str">
        <f ca="1">IFERROR(__xludf.DUMMYFUNCTION("""COMPUTED_VALUE"""),"9600, 9620, 9631, 9640")</f>
        <v>9600, 9620, 9631, 9640</v>
      </c>
      <c r="S21" s="29">
        <f ca="1">IFERROR(__xludf.DUMMYFUNCTION("""COMPUTED_VALUE"""),43783)</f>
        <v>43783</v>
      </c>
      <c r="T21" s="2" t="str">
        <f ca="1">IFERROR(__xludf.DUMMYFUNCTION("""COMPUTED_VALUE"""),"-")</f>
        <v>-</v>
      </c>
      <c r="U21" s="2">
        <f ca="1">IFERROR(__xludf.DUMMYFUNCTION("""COMPUTED_VALUE"""),48)</f>
        <v>48</v>
      </c>
      <c r="V21" s="2" t="str">
        <f ca="1">IFERROR(__xludf.DUMMYFUNCTION("""COMPUTED_VALUE"""),"9640, 9240, 9610, 9600, 9620, 9631")</f>
        <v>9640, 9240, 9610, 9600, 9620, 9631</v>
      </c>
      <c r="W21" s="2">
        <f ca="1">IFERROR(__xludf.DUMMYFUNCTION("""COMPUTED_VALUE"""),33)</f>
        <v>33</v>
      </c>
      <c r="X21" s="2" t="str">
        <f ca="1">IFERROR(__xludf.DUMMYFUNCTION("""COMPUTED_VALUE"""),"9500, 9240, 9640, 9620, 9600, 9670")</f>
        <v>9500, 9240, 9640, 9620, 9600, 9670</v>
      </c>
      <c r="Y21" s="2" t="str">
        <f ca="1">IFERROR(__xludf.DUMMYFUNCTION("""COMPUTED_VALUE"""),"ja")</f>
        <v>ja</v>
      </c>
      <c r="Z21" s="2"/>
      <c r="AA21" s="25"/>
      <c r="AB21" s="2" t="str">
        <f ca="1">IFERROR(__xludf.DUMMYFUNCTION("""COMPUTED_VALUE"""),"x")</f>
        <v>x</v>
      </c>
      <c r="AC21" s="2" t="str">
        <f ca="1">IFERROR(__xludf.DUMMYFUNCTION("""COMPUTED_VALUE"""),"x")</f>
        <v>x</v>
      </c>
      <c r="AD21" s="2" t="str">
        <f ca="1">IFERROR(__xludf.DUMMYFUNCTION("""COMPUTED_VALUE"""),"ja")</f>
        <v>ja</v>
      </c>
      <c r="AE21" s="2"/>
    </row>
    <row r="22" spans="1:31" ht="15.75" customHeight="1">
      <c r="A22" s="2" t="str">
        <f ca="1">IFERROR(__xludf.DUMMYFUNCTION("""COMPUTED_VALUE"""),"Christian")</f>
        <v>Christian</v>
      </c>
      <c r="B22" s="2" t="str">
        <f ca="1">IFERROR(__xludf.DUMMYFUNCTION("""COMPUTED_VALUE"""),"Nybolig Odder")</f>
        <v>Nybolig Odder</v>
      </c>
      <c r="C22" s="26">
        <f ca="1">IFERROR(__xludf.DUMMYFUNCTION("""COMPUTED_VALUE"""),25146565)</f>
        <v>25146565</v>
      </c>
      <c r="D22" s="26" t="str">
        <f ca="1">IFERROR(__xludf.DUMMYFUNCTION("""COMPUTED_VALUE"""),"MG-PM-JY: 1.949,-")</f>
        <v>MG-PM-JY: 1.949,-</v>
      </c>
      <c r="E22" s="26">
        <f ca="1">IFERROR(__xludf.DUMMYFUNCTION("""COMPUTED_VALUE"""),1203)</f>
        <v>1203</v>
      </c>
      <c r="F22" s="26" t="str">
        <f ca="1">IFERROR(__xludf.DUMMYFUNCTION("""COMPUTED_VALUE"""),"Bo Bjerre, Ejendomsmægler, MDE og valuar, Indehaver")</f>
        <v>Bo Bjerre, Ejendomsmægler, MDE og valuar, Indehaver</v>
      </c>
      <c r="G22" s="2" t="str">
        <f ca="1">IFERROR(__xludf.DUMMYFUNCTION("""COMPUTED_VALUE"""),"bje@nybolig.dk")</f>
        <v>bje@nybolig.dk</v>
      </c>
      <c r="H22" s="2"/>
      <c r="I22" s="2" t="str">
        <f ca="1">IFERROR(__xludf.DUMMYFUNCTION("""COMPUTED_VALUE"""),"Rådhusgade 2")</f>
        <v>Rådhusgade 2</v>
      </c>
      <c r="J22" s="2">
        <f ca="1">IFERROR(__xludf.DUMMYFUNCTION("""COMPUTED_VALUE"""),8300)</f>
        <v>8300</v>
      </c>
      <c r="K22" s="2" t="str">
        <f ca="1">IFERROR(__xludf.DUMMYFUNCTION("""COMPUTED_VALUE"""),"Odder")</f>
        <v>Odder</v>
      </c>
      <c r="L22" s="2" t="str">
        <f ca="1">IFERROR(__xludf.DUMMYFUNCTION("""COMPUTED_VALUE"""),"Odder")</f>
        <v>Odder</v>
      </c>
      <c r="M22" s="2" t="str">
        <f ca="1">IFERROR(__xludf.DUMMYFUNCTION("""COMPUTED_VALUE"""),"Østjylland")</f>
        <v>Østjylland</v>
      </c>
      <c r="N22" s="2" t="str">
        <f ca="1">IFERROR(__xludf.DUMMYFUNCTION("""COMPUTED_VALUE"""),"Midtjylland")</f>
        <v>Midtjylland</v>
      </c>
      <c r="O22" s="2" t="str">
        <f ca="1">IFERROR(__xludf.DUMMYFUNCTION("""COMPUTED_VALUE"""),"8654 2666")</f>
        <v>8654 2666</v>
      </c>
      <c r="P22" s="2" t="str">
        <f ca="1">IFERROR(__xludf.DUMMYFUNCTION("""COMPUTED_VALUE"""),"8300@nybolig.dk")</f>
        <v>8300@nybolig.dk</v>
      </c>
      <c r="Q22" s="27" t="str">
        <f ca="1">IFERROR(__xludf.DUMMYFUNCTION("""COMPUTED_VALUE"""),"https://www.boliga.dk/maegler/337")</f>
        <v>https://www.boliga.dk/maegler/337</v>
      </c>
      <c r="R22" s="2" t="str">
        <f ca="1">IFERROR(__xludf.DUMMYFUNCTION("""COMPUTED_VALUE"""),"8300, 8330, 8340, 8350, 8799")</f>
        <v>8300, 8330, 8340, 8350, 8799</v>
      </c>
      <c r="S22" s="29">
        <f ca="1">IFERROR(__xludf.DUMMYFUNCTION("""COMPUTED_VALUE"""),43801)</f>
        <v>43801</v>
      </c>
      <c r="T22" s="2" t="str">
        <f ca="1">IFERROR(__xludf.DUMMYFUNCTION("""COMPUTED_VALUE"""),"-")</f>
        <v>-</v>
      </c>
      <c r="U22" s="2">
        <f ca="1">IFERROR(__xludf.DUMMYFUNCTION("""COMPUTED_VALUE"""),49)</f>
        <v>49</v>
      </c>
      <c r="V22" s="2" t="str">
        <f ca="1">IFERROR(__xludf.DUMMYFUNCTION("""COMPUTED_VALUE"""),"8350, 8300, 8340, 8799")</f>
        <v>8350, 8300, 8340, 8799</v>
      </c>
      <c r="W22" s="2">
        <f ca="1">IFERROR(__xludf.DUMMYFUNCTION("""COMPUTED_VALUE"""),48)</f>
        <v>48</v>
      </c>
      <c r="X22" s="2" t="str">
        <f ca="1">IFERROR(__xludf.DUMMYFUNCTION("""COMPUTED_VALUE"""),"8340, 8300")</f>
        <v>8340, 8300</v>
      </c>
      <c r="Y22" s="2" t="str">
        <f ca="1">IFERROR(__xludf.DUMMYFUNCTION("""COMPUTED_VALUE"""),"ja")</f>
        <v>ja</v>
      </c>
      <c r="Z22" s="2" t="str">
        <f ca="1">IFERROR(__xludf.DUMMYFUNCTION("""COMPUTED_VALUE"""),"Bo er på ferie i denne uge, vil vende den med ham derefter - bo er på vej på ferie og jan er allerede på ferie så det er først om ca 5 uger de ser hinanden igen, han vil dog lige kigge på det, han mente at de allerede havde sent svar")</f>
        <v>Bo er på ferie i denne uge, vil vende den med ham derefter - bo er på vej på ferie og jan er allerede på ferie så det er først om ca 5 uger de ser hinanden igen, han vil dog lige kigge på det, han mente at de allerede havde sent svar</v>
      </c>
      <c r="AA22" s="25"/>
      <c r="AB22" s="2" t="str">
        <f ca="1">IFERROR(__xludf.DUMMYFUNCTION("""COMPUTED_VALUE"""),"x")</f>
        <v>x</v>
      </c>
      <c r="AC22" s="2" t="str">
        <f ca="1">IFERROR(__xludf.DUMMYFUNCTION("""COMPUTED_VALUE"""),"x")</f>
        <v>x</v>
      </c>
      <c r="AD22" s="2" t="str">
        <f ca="1">IFERROR(__xludf.DUMMYFUNCTION("""COMPUTED_VALUE"""),"ja")</f>
        <v>ja</v>
      </c>
      <c r="AE22" s="2"/>
    </row>
    <row r="23" spans="1:31" ht="15.75" customHeight="1">
      <c r="A23" s="2" t="str">
        <f ca="1">IFERROR(__xludf.DUMMYFUNCTION("""COMPUTED_VALUE"""),"Christian")</f>
        <v>Christian</v>
      </c>
      <c r="B23" s="2" t="str">
        <f ca="1">IFERROR(__xludf.DUMMYFUNCTION("""COMPUTED_VALUE"""),"Nybolig Kjellerup - Frank Lerche")</f>
        <v>Nybolig Kjellerup - Frank Lerche</v>
      </c>
      <c r="C23" s="26">
        <f ca="1">IFERROR(__xludf.DUMMYFUNCTION("""COMPUTED_VALUE"""),25202848)</f>
        <v>25202848</v>
      </c>
      <c r="D23" s="26" t="str">
        <f ca="1">IFERROR(__xludf.DUMMYFUNCTION("""COMPUTED_VALUE"""),"MG-PM-JY: 1.949,-")</f>
        <v>MG-PM-JY: 1.949,-</v>
      </c>
      <c r="E23" s="26">
        <f ca="1">IFERROR(__xludf.DUMMYFUNCTION("""COMPUTED_VALUE"""),1203)</f>
        <v>1203</v>
      </c>
      <c r="F23" s="26" t="str">
        <f ca="1">IFERROR(__xludf.DUMMYFUNCTION("""COMPUTED_VALUE"""),"Frank Lerche Indehaver, Ejendomsmægler og valuar")</f>
        <v>Frank Lerche Indehaver, Ejendomsmægler og valuar</v>
      </c>
      <c r="G23" s="2" t="str">
        <f ca="1">IFERROR(__xludf.DUMMYFUNCTION("""COMPUTED_VALUE"""),"flc@nybolig.dk")</f>
        <v>flc@nybolig.dk</v>
      </c>
      <c r="H23" s="2"/>
      <c r="I23" s="2" t="str">
        <f ca="1">IFERROR(__xludf.DUMMYFUNCTION("""COMPUTED_VALUE"""),"Søndergade 2 A")</f>
        <v>Søndergade 2 A</v>
      </c>
      <c r="J23" s="2">
        <f ca="1">IFERROR(__xludf.DUMMYFUNCTION("""COMPUTED_VALUE"""),8620)</f>
        <v>8620</v>
      </c>
      <c r="K23" s="2" t="str">
        <f ca="1">IFERROR(__xludf.DUMMYFUNCTION("""COMPUTED_VALUE"""),"Kjellerup")</f>
        <v>Kjellerup</v>
      </c>
      <c r="L23" s="2" t="str">
        <f ca="1">IFERROR(__xludf.DUMMYFUNCTION("""COMPUTED_VALUE"""),"Silkeborg")</f>
        <v>Silkeborg</v>
      </c>
      <c r="M23" s="2" t="str">
        <f ca="1">IFERROR(__xludf.DUMMYFUNCTION("""COMPUTED_VALUE"""),"Østjylland")</f>
        <v>Østjylland</v>
      </c>
      <c r="N23" s="2" t="str">
        <f ca="1">IFERROR(__xludf.DUMMYFUNCTION("""COMPUTED_VALUE"""),"Midtjylland")</f>
        <v>Midtjylland</v>
      </c>
      <c r="O23" s="2" t="str">
        <f ca="1">IFERROR(__xludf.DUMMYFUNCTION("""COMPUTED_VALUE"""),"8688 3999")</f>
        <v>8688 3999</v>
      </c>
      <c r="P23" s="2" t="str">
        <f ca="1">IFERROR(__xludf.DUMMYFUNCTION("""COMPUTED_VALUE"""),"8620@nybolig.dk")</f>
        <v>8620@nybolig.dk</v>
      </c>
      <c r="Q23" s="27" t="str">
        <f ca="1">IFERROR(__xludf.DUMMYFUNCTION("""COMPUTED_VALUE"""),"https://www.boliga.dk/maegler/855")</f>
        <v>https://www.boliga.dk/maegler/855</v>
      </c>
      <c r="R23" s="2">
        <f ca="1">IFERROR(__xludf.DUMMYFUNCTION("""COMPUTED_VALUE"""),8620)</f>
        <v>8620</v>
      </c>
      <c r="S23" s="29">
        <f ca="1">IFERROR(__xludf.DUMMYFUNCTION("""COMPUTED_VALUE"""),43804)</f>
        <v>43804</v>
      </c>
      <c r="T23" s="2" t="str">
        <f ca="1">IFERROR(__xludf.DUMMYFUNCTION("""COMPUTED_VALUE"""),"-")</f>
        <v>-</v>
      </c>
      <c r="U23" s="2">
        <f ca="1">IFERROR(__xludf.DUMMYFUNCTION("""COMPUTED_VALUE"""),37)</f>
        <v>37</v>
      </c>
      <c r="V23" s="2" t="str">
        <f ca="1">IFERROR(__xludf.DUMMYFUNCTION("""COMPUTED_VALUE"""),"7470, 7442, 8620, 8643")</f>
        <v>7470, 7442, 8620, 8643</v>
      </c>
      <c r="W23" s="2">
        <f ca="1">IFERROR(__xludf.DUMMYFUNCTION("""COMPUTED_VALUE"""),13)</f>
        <v>13</v>
      </c>
      <c r="X23" s="2" t="str">
        <f ca="1">IFERROR(__xludf.DUMMYFUNCTION("""COMPUTED_VALUE"""),"8620, 8643")</f>
        <v>8620, 8643</v>
      </c>
      <c r="Y23" s="2" t="str">
        <f ca="1">IFERROR(__xludf.DUMMYFUNCTION("""COMPUTED_VALUE"""),"ja")</f>
        <v>ja</v>
      </c>
      <c r="Z23" s="2"/>
      <c r="AA23" s="25"/>
      <c r="AB23" s="2" t="str">
        <f ca="1">IFERROR(__xludf.DUMMYFUNCTION("""COMPUTED_VALUE"""),"x")</f>
        <v>x</v>
      </c>
      <c r="AC23" s="2" t="str">
        <f ca="1">IFERROR(__xludf.DUMMYFUNCTION("""COMPUTED_VALUE"""),"x")</f>
        <v>x</v>
      </c>
      <c r="AD23" s="2" t="str">
        <f ca="1">IFERROR(__xludf.DUMMYFUNCTION("""COMPUTED_VALUE"""),"ja")</f>
        <v>ja</v>
      </c>
      <c r="AE23" s="2"/>
    </row>
    <row r="24" spans="1:31" ht="12.45">
      <c r="A24" s="2" t="str">
        <f ca="1">IFERROR(__xludf.DUMMYFUNCTION("""COMPUTED_VALUE"""),"Christian")</f>
        <v>Christian</v>
      </c>
      <c r="B24" s="2" t="str">
        <f ca="1">IFERROR(__xludf.DUMMYFUNCTION("""COMPUTED_VALUE"""),"Nybolig Silkeborg - Frank Lerche")</f>
        <v>Nybolig Silkeborg - Frank Lerche</v>
      </c>
      <c r="C24" s="26">
        <f ca="1">IFERROR(__xludf.DUMMYFUNCTION("""COMPUTED_VALUE"""),25202848)</f>
        <v>25202848</v>
      </c>
      <c r="D24" s="26" t="str">
        <f ca="1">IFERROR(__xludf.DUMMYFUNCTION("""COMPUTED_VALUE"""),"MG-PM-JY: 1.949,-")</f>
        <v>MG-PM-JY: 1.949,-</v>
      </c>
      <c r="E24" s="26">
        <f ca="1">IFERROR(__xludf.DUMMYFUNCTION("""COMPUTED_VALUE"""),1203)</f>
        <v>1203</v>
      </c>
      <c r="F24" s="26" t="str">
        <f ca="1">IFERROR(__xludf.DUMMYFUNCTION("""COMPUTED_VALUE"""),"Frank Lerche")</f>
        <v>Frank Lerche</v>
      </c>
      <c r="G24" s="2" t="str">
        <f ca="1">IFERROR(__xludf.DUMMYFUNCTION("""COMPUTED_VALUE"""),"flc@nybolig.dk")</f>
        <v>flc@nybolig.dk</v>
      </c>
      <c r="H24" s="2"/>
      <c r="I24" s="2" t="str">
        <f ca="1">IFERROR(__xludf.DUMMYFUNCTION("""COMPUTED_VALUE"""),"Borgergade 40")</f>
        <v>Borgergade 40</v>
      </c>
      <c r="J24" s="2">
        <f ca="1">IFERROR(__xludf.DUMMYFUNCTION("""COMPUTED_VALUE"""),8600)</f>
        <v>8600</v>
      </c>
      <c r="K24" s="2" t="str">
        <f ca="1">IFERROR(__xludf.DUMMYFUNCTION("""COMPUTED_VALUE"""),"Silkeborg")</f>
        <v>Silkeborg</v>
      </c>
      <c r="L24" s="2" t="str">
        <f ca="1">IFERROR(__xludf.DUMMYFUNCTION("""COMPUTED_VALUE"""),"Silkeborg")</f>
        <v>Silkeborg</v>
      </c>
      <c r="M24" s="2" t="str">
        <f ca="1">IFERROR(__xludf.DUMMYFUNCTION("""COMPUTED_VALUE"""),"Østjylland")</f>
        <v>Østjylland</v>
      </c>
      <c r="N24" s="2" t="str">
        <f ca="1">IFERROR(__xludf.DUMMYFUNCTION("""COMPUTED_VALUE"""),"Midtjylland")</f>
        <v>Midtjylland</v>
      </c>
      <c r="O24" s="2" t="str">
        <f ca="1">IFERROR(__xludf.DUMMYFUNCTION("""COMPUTED_VALUE"""),"8682 1010")</f>
        <v>8682 1010</v>
      </c>
      <c r="P24" s="2" t="str">
        <f ca="1">IFERROR(__xludf.DUMMYFUNCTION("""COMPUTED_VALUE"""),"8602@nybolig.dk")</f>
        <v>8602@nybolig.dk</v>
      </c>
      <c r="Q24" s="27" t="str">
        <f ca="1">IFERROR(__xludf.DUMMYFUNCTION("""COMPUTED_VALUE"""),"https://www.boliga.dk/maegler/439")</f>
        <v>https://www.boliga.dk/maegler/439</v>
      </c>
      <c r="R24" s="2">
        <f ca="1">IFERROR(__xludf.DUMMYFUNCTION("""COMPUTED_VALUE"""),8620)</f>
        <v>8620</v>
      </c>
      <c r="S24" s="29">
        <f ca="1">IFERROR(__xludf.DUMMYFUNCTION("""COMPUTED_VALUE"""),43804)</f>
        <v>43804</v>
      </c>
      <c r="T24" s="2" t="str">
        <f ca="1">IFERROR(__xludf.DUMMYFUNCTION("""COMPUTED_VALUE"""),"-")</f>
        <v>-</v>
      </c>
      <c r="U24" s="2">
        <f ca="1">IFERROR(__xludf.DUMMYFUNCTION("""COMPUTED_VALUE"""),18)</f>
        <v>18</v>
      </c>
      <c r="V24" s="2" t="str">
        <f ca="1">IFERROR(__xludf.DUMMYFUNCTION("""COMPUTED_VALUE"""),"8643, 7442, 8600, 8632")</f>
        <v>8643, 7442, 8600, 8632</v>
      </c>
      <c r="W24" s="2">
        <f ca="1">IFERROR(__xludf.DUMMYFUNCTION("""COMPUTED_VALUE"""),18)</f>
        <v>18</v>
      </c>
      <c r="X24" s="2" t="str">
        <f ca="1">IFERROR(__xludf.DUMMYFUNCTION("""COMPUTED_VALUE"""),"8643, 8600")</f>
        <v>8643, 8600</v>
      </c>
      <c r="Y24" s="2" t="str">
        <f ca="1">IFERROR(__xludf.DUMMYFUNCTION("""COMPUTED_VALUE"""),"ja")</f>
        <v>ja</v>
      </c>
      <c r="Z24" s="2"/>
      <c r="AA24" s="25"/>
      <c r="AB24" s="2" t="str">
        <f ca="1">IFERROR(__xludf.DUMMYFUNCTION("""COMPUTED_VALUE"""),"x")</f>
        <v>x</v>
      </c>
      <c r="AC24" s="2" t="str">
        <f ca="1">IFERROR(__xludf.DUMMYFUNCTION("""COMPUTED_VALUE"""),"x")</f>
        <v>x</v>
      </c>
      <c r="AD24" s="2"/>
      <c r="AE24" s="2"/>
    </row>
    <row r="25" spans="1:31" ht="12.45">
      <c r="A25" s="2" t="str">
        <f ca="1">IFERROR(__xludf.DUMMYFUNCTION("""COMPUTED_VALUE"""),"Christian")</f>
        <v>Christian</v>
      </c>
      <c r="B25" s="2" t="str">
        <f ca="1">IFERROR(__xludf.DUMMYFUNCTION("""COMPUTED_VALUE"""),"Nybolig Brædstrup")</f>
        <v>Nybolig Brædstrup</v>
      </c>
      <c r="C25" s="26">
        <f ca="1">IFERROR(__xludf.DUMMYFUNCTION("""COMPUTED_VALUE"""),35061924)</f>
        <v>35061924</v>
      </c>
      <c r="D25" s="26" t="str">
        <f ca="1">IFERROR(__xludf.DUMMYFUNCTION("""COMPUTED_VALUE"""),"MG-PM-JY: 1.949,-")</f>
        <v>MG-PM-JY: 1.949,-</v>
      </c>
      <c r="E25" s="26">
        <f ca="1">IFERROR(__xludf.DUMMYFUNCTION("""COMPUTED_VALUE"""),1203)</f>
        <v>1203</v>
      </c>
      <c r="F25" s="26" t="str">
        <f ca="1">IFERROR(__xludf.DUMMYFUNCTION("""COMPUTED_VALUE"""),"Steffen Tornvig,")</f>
        <v>Steffen Tornvig,</v>
      </c>
      <c r="G25" s="2" t="str">
        <f ca="1">IFERROR(__xludf.DUMMYFUNCTION("""COMPUTED_VALUE"""),"stt@nybolig.dk")</f>
        <v>stt@nybolig.dk</v>
      </c>
      <c r="H25" s="2"/>
      <c r="I25" s="2" t="str">
        <f ca="1">IFERROR(__xludf.DUMMYFUNCTION("""COMPUTED_VALUE"""),"Bredgade 1")</f>
        <v>Bredgade 1</v>
      </c>
      <c r="J25" s="2">
        <f ca="1">IFERROR(__xludf.DUMMYFUNCTION("""COMPUTED_VALUE"""),8740)</f>
        <v>8740</v>
      </c>
      <c r="K25" s="2" t="str">
        <f ca="1">IFERROR(__xludf.DUMMYFUNCTION("""COMPUTED_VALUE"""),"Brædstrup")</f>
        <v>Brædstrup</v>
      </c>
      <c r="L25" s="2" t="str">
        <f ca="1">IFERROR(__xludf.DUMMYFUNCTION("""COMPUTED_VALUE"""),"Horsens")</f>
        <v>Horsens</v>
      </c>
      <c r="M25" s="2" t="str">
        <f ca="1">IFERROR(__xludf.DUMMYFUNCTION("""COMPUTED_VALUE"""),"Østjylland")</f>
        <v>Østjylland</v>
      </c>
      <c r="N25" s="2" t="str">
        <f ca="1">IFERROR(__xludf.DUMMYFUNCTION("""COMPUTED_VALUE"""),"Midtjylland")</f>
        <v>Midtjylland</v>
      </c>
      <c r="O25" s="2" t="str">
        <f ca="1">IFERROR(__xludf.DUMMYFUNCTION("""COMPUTED_VALUE"""),"7575 2270")</f>
        <v>7575 2270</v>
      </c>
      <c r="P25" s="2" t="str">
        <f ca="1">IFERROR(__xludf.DUMMYFUNCTION("""COMPUTED_VALUE"""),"8740@nybolig.dk")</f>
        <v>8740@nybolig.dk</v>
      </c>
      <c r="Q25" s="27" t="str">
        <f ca="1">IFERROR(__xludf.DUMMYFUNCTION("""COMPUTED_VALUE"""),"https://www.boliga.dk/maegler/376")</f>
        <v>https://www.boliga.dk/maegler/376</v>
      </c>
      <c r="R25" s="2" t="str">
        <f ca="1">IFERROR(__xludf.DUMMYFUNCTION("""COMPUTED_VALUE"""),"7160, 7171, 7173, 7300, 7321, 8740, 8752, 8762, 8763, 8765")</f>
        <v>7160, 7171, 7173, 7300, 7321, 8740, 8752, 8762, 8763, 8765</v>
      </c>
      <c r="S25" s="28">
        <f ca="1">IFERROR(__xludf.DUMMYFUNCTION("""COMPUTED_VALUE"""),43809)</f>
        <v>43809</v>
      </c>
      <c r="T25" s="2" t="str">
        <f ca="1">IFERROR(__xludf.DUMMYFUNCTION("""COMPUTED_VALUE"""),"-")</f>
        <v>-</v>
      </c>
      <c r="U25" s="2">
        <f ca="1">IFERROR(__xludf.DUMMYFUNCTION("""COMPUTED_VALUE"""),53)</f>
        <v>53</v>
      </c>
      <c r="V25" s="2" t="str">
        <f ca="1">IFERROR(__xludf.DUMMYFUNCTION("""COMPUTED_VALUE"""),"8653, 8654, 8752, 8740, 8765")</f>
        <v>8653, 8654, 8752, 8740, 8765</v>
      </c>
      <c r="W25" s="2">
        <f ca="1">IFERROR(__xludf.DUMMYFUNCTION("""COMPUTED_VALUE"""),22)</f>
        <v>22</v>
      </c>
      <c r="X25" s="2" t="str">
        <f ca="1">IFERROR(__xludf.DUMMYFUNCTION("""COMPUTED_VALUE"""),"8654, 8752, 8400, 8740, 8765")</f>
        <v>8654, 8752, 8400, 8740, 8765</v>
      </c>
      <c r="Y25" s="2" t="str">
        <f ca="1">IFERROR(__xludf.DUMMYFUNCTION("""COMPUTED_VALUE"""),"ja")</f>
        <v>ja</v>
      </c>
      <c r="Z25" s="2"/>
      <c r="AA25" s="25"/>
      <c r="AB25" s="2" t="str">
        <f ca="1">IFERROR(__xludf.DUMMYFUNCTION("""COMPUTED_VALUE"""),"x")</f>
        <v>x</v>
      </c>
      <c r="AC25" s="2" t="str">
        <f ca="1">IFERROR(__xludf.DUMMYFUNCTION("""COMPUTED_VALUE"""),"x")</f>
        <v>x</v>
      </c>
      <c r="AD25" s="2" t="str">
        <f ca="1">IFERROR(__xludf.DUMMYFUNCTION("""COMPUTED_VALUE"""),"nej")</f>
        <v>nej</v>
      </c>
      <c r="AE25" s="2"/>
    </row>
    <row r="26" spans="1:31" ht="12.45">
      <c r="A26" s="2" t="str">
        <f ca="1">IFERROR(__xludf.DUMMYFUNCTION("""COMPUTED_VALUE"""),"Christian")</f>
        <v>Christian</v>
      </c>
      <c r="B26" s="2" t="str">
        <f ca="1">IFERROR(__xludf.DUMMYFUNCTION("""COMPUTED_VALUE"""),"Nybolig Jelling")</f>
        <v>Nybolig Jelling</v>
      </c>
      <c r="C26" s="26">
        <f ca="1">IFERROR(__xludf.DUMMYFUNCTION("""COMPUTED_VALUE"""),35061924)</f>
        <v>35061924</v>
      </c>
      <c r="D26" s="26" t="str">
        <f ca="1">IFERROR(__xludf.DUMMYFUNCTION("""COMPUTED_VALUE"""),"MG-PM-JY: 1.949,-")</f>
        <v>MG-PM-JY: 1.949,-</v>
      </c>
      <c r="E26" s="26">
        <f ca="1">IFERROR(__xludf.DUMMYFUNCTION("""COMPUTED_VALUE"""),1203)</f>
        <v>1203</v>
      </c>
      <c r="F26" s="26" t="str">
        <f ca="1">IFERROR(__xludf.DUMMYFUNCTION("""COMPUTED_VALUE"""),"Steffen Tornvig,")</f>
        <v>Steffen Tornvig,</v>
      </c>
      <c r="G26" s="2" t="str">
        <f ca="1">IFERROR(__xludf.DUMMYFUNCTION("""COMPUTED_VALUE"""),"stt@nybolig.dk")</f>
        <v>stt@nybolig.dk</v>
      </c>
      <c r="H26" s="2"/>
      <c r="I26" s="2" t="str">
        <f ca="1">IFERROR(__xludf.DUMMYFUNCTION("""COMPUTED_VALUE"""),"Gorms Torv 3")</f>
        <v>Gorms Torv 3</v>
      </c>
      <c r="J26" s="2">
        <f ca="1">IFERROR(__xludf.DUMMYFUNCTION("""COMPUTED_VALUE"""),7300)</f>
        <v>7300</v>
      </c>
      <c r="K26" s="2" t="str">
        <f ca="1">IFERROR(__xludf.DUMMYFUNCTION("""COMPUTED_VALUE"""),"Jelling")</f>
        <v>Jelling</v>
      </c>
      <c r="L26" s="2" t="str">
        <f ca="1">IFERROR(__xludf.DUMMYFUNCTION("""COMPUTED_VALUE"""),"Vejle")</f>
        <v>Vejle</v>
      </c>
      <c r="M26" s="2" t="str">
        <f ca="1">IFERROR(__xludf.DUMMYFUNCTION("""COMPUTED_VALUE"""),"Sydjylland")</f>
        <v>Sydjylland</v>
      </c>
      <c r="N26" s="2" t="str">
        <f ca="1">IFERROR(__xludf.DUMMYFUNCTION("""COMPUTED_VALUE"""),"Syddanmark")</f>
        <v>Syddanmark</v>
      </c>
      <c r="O26" s="2" t="str">
        <f ca="1">IFERROR(__xludf.DUMMYFUNCTION("""COMPUTED_VALUE"""),"7587 0900")</f>
        <v>7587 0900</v>
      </c>
      <c r="P26" s="2" t="str">
        <f ca="1">IFERROR(__xludf.DUMMYFUNCTION("""COMPUTED_VALUE"""),"7300@nybolig.dk")</f>
        <v>7300@nybolig.dk</v>
      </c>
      <c r="Q26" s="27" t="str">
        <f ca="1">IFERROR(__xludf.DUMMYFUNCTION("""COMPUTED_VALUE"""),"https://www.boliga.dk/maegler/20712")</f>
        <v>https://www.boliga.dk/maegler/20712</v>
      </c>
      <c r="R26" s="2" t="str">
        <f ca="1">IFERROR(__xludf.DUMMYFUNCTION("""COMPUTED_VALUE"""),"7160, 7171, 7173, 7300, 7321, 8740, 8752, 8762, 8763, 8765")</f>
        <v>7160, 7171, 7173, 7300, 7321, 8740, 8752, 8762, 8763, 8765</v>
      </c>
      <c r="S26" s="29">
        <f ca="1">IFERROR(__xludf.DUMMYFUNCTION("""COMPUTED_VALUE"""),43809)</f>
        <v>43809</v>
      </c>
      <c r="T26" s="2" t="str">
        <f ca="1">IFERROR(__xludf.DUMMYFUNCTION("""COMPUTED_VALUE"""),"-")</f>
        <v>-</v>
      </c>
      <c r="U26" s="2">
        <f ca="1">IFERROR(__xludf.DUMMYFUNCTION("""COMPUTED_VALUE"""),38)</f>
        <v>38</v>
      </c>
      <c r="V26" s="2" t="str">
        <f ca="1">IFERROR(__xludf.DUMMYFUNCTION("""COMPUTED_VALUE"""),"7300, 7100, 7321, 7323, 7182")</f>
        <v>7300, 7100, 7321, 7323, 7182</v>
      </c>
      <c r="W26" s="2">
        <f ca="1">IFERROR(__xludf.DUMMYFUNCTION("""COMPUTED_VALUE"""),13)</f>
        <v>13</v>
      </c>
      <c r="X26" s="2" t="str">
        <f ca="1">IFERROR(__xludf.DUMMYFUNCTION("""COMPUTED_VALUE"""),"7300, 7323, 7321, 7182")</f>
        <v>7300, 7323, 7321, 7182</v>
      </c>
      <c r="Y26" s="2" t="str">
        <f ca="1">IFERROR(__xludf.DUMMYFUNCTION("""COMPUTED_VALUE"""),"ja")</f>
        <v>ja</v>
      </c>
      <c r="Z26" s="2"/>
      <c r="AA26" s="25"/>
      <c r="AB26" s="2" t="str">
        <f ca="1">IFERROR(__xludf.DUMMYFUNCTION("""COMPUTED_VALUE"""),"x")</f>
        <v>x</v>
      </c>
      <c r="AC26" s="2" t="str">
        <f ca="1">IFERROR(__xludf.DUMMYFUNCTION("""COMPUTED_VALUE"""),"x")</f>
        <v>x</v>
      </c>
      <c r="AD26" s="2" t="str">
        <f ca="1">IFERROR(__xludf.DUMMYFUNCTION("""COMPUTED_VALUE"""),"nej")</f>
        <v>nej</v>
      </c>
      <c r="AE26" s="2"/>
    </row>
    <row r="27" spans="1:31" ht="12.45">
      <c r="A27" s="2" t="str">
        <f ca="1">IFERROR(__xludf.DUMMYFUNCTION("""COMPUTED_VALUE"""),"Christian")</f>
        <v>Christian</v>
      </c>
      <c r="B27" s="2" t="str">
        <f ca="1">IFERROR(__xludf.DUMMYFUNCTION("""COMPUTED_VALUE"""),"Nybolig Tørring")</f>
        <v>Nybolig Tørring</v>
      </c>
      <c r="C27" s="26">
        <f ca="1">IFERROR(__xludf.DUMMYFUNCTION("""COMPUTED_VALUE"""),35061924)</f>
        <v>35061924</v>
      </c>
      <c r="D27" s="26" t="str">
        <f ca="1">IFERROR(__xludf.DUMMYFUNCTION("""COMPUTED_VALUE"""),"MG-PM-JY: 1.949,-")</f>
        <v>MG-PM-JY: 1.949,-</v>
      </c>
      <c r="E27" s="26">
        <f ca="1">IFERROR(__xludf.DUMMYFUNCTION("""COMPUTED_VALUE"""),1203)</f>
        <v>1203</v>
      </c>
      <c r="F27" s="26" t="str">
        <f ca="1">IFERROR(__xludf.DUMMYFUNCTION("""COMPUTED_VALUE"""),"Steffen Tornvig,")</f>
        <v>Steffen Tornvig,</v>
      </c>
      <c r="G27" s="2" t="str">
        <f ca="1">IFERROR(__xludf.DUMMYFUNCTION("""COMPUTED_VALUE"""),"stt@nybolig.dk")</f>
        <v>stt@nybolig.dk</v>
      </c>
      <c r="H27" s="2"/>
      <c r="I27" s="2" t="str">
        <f ca="1">IFERROR(__xludf.DUMMYFUNCTION("""COMPUTED_VALUE"""),"Bredgade 27")</f>
        <v>Bredgade 27</v>
      </c>
      <c r="J27" s="2">
        <f ca="1">IFERROR(__xludf.DUMMYFUNCTION("""COMPUTED_VALUE"""),7160)</f>
        <v>7160</v>
      </c>
      <c r="K27" s="2" t="str">
        <f ca="1">IFERROR(__xludf.DUMMYFUNCTION("""COMPUTED_VALUE"""),"Tørring")</f>
        <v>Tørring</v>
      </c>
      <c r="L27" s="2" t="str">
        <f ca="1">IFERROR(__xludf.DUMMYFUNCTION("""COMPUTED_VALUE"""),"Hedensted")</f>
        <v>Hedensted</v>
      </c>
      <c r="M27" s="2" t="str">
        <f ca="1">IFERROR(__xludf.DUMMYFUNCTION("""COMPUTED_VALUE"""),"Østjylland")</f>
        <v>Østjylland</v>
      </c>
      <c r="N27" s="2" t="str">
        <f ca="1">IFERROR(__xludf.DUMMYFUNCTION("""COMPUTED_VALUE"""),"Midtjylland")</f>
        <v>Midtjylland</v>
      </c>
      <c r="O27" s="2" t="str">
        <f ca="1">IFERROR(__xludf.DUMMYFUNCTION("""COMPUTED_VALUE"""),"7580 0900")</f>
        <v>7580 0900</v>
      </c>
      <c r="P27" s="2" t="str">
        <f ca="1">IFERROR(__xludf.DUMMYFUNCTION("""COMPUTED_VALUE"""),"7160@nybolig.dk")</f>
        <v>7160@nybolig.dk</v>
      </c>
      <c r="Q27" s="27" t="str">
        <f ca="1">IFERROR(__xludf.DUMMYFUNCTION("""COMPUTED_VALUE"""),"https://www.boliga.dk/maegler/18075")</f>
        <v>https://www.boliga.dk/maegler/18075</v>
      </c>
      <c r="R27" s="2" t="str">
        <f ca="1">IFERROR(__xludf.DUMMYFUNCTION("""COMPUTED_VALUE"""),"7160, 7171, 7173, 7300, 7321, 8740, 8752, 8762, 8763, 8765")</f>
        <v>7160, 7171, 7173, 7300, 7321, 8740, 8752, 8762, 8763, 8765</v>
      </c>
      <c r="S27" s="28">
        <f ca="1">IFERROR(__xludf.DUMMYFUNCTION("""COMPUTED_VALUE"""),43809)</f>
        <v>43809</v>
      </c>
      <c r="T27" s="2" t="str">
        <f ca="1">IFERROR(__xludf.DUMMYFUNCTION("""COMPUTED_VALUE"""),"-")</f>
        <v>-</v>
      </c>
      <c r="U27" s="2">
        <f ca="1">IFERROR(__xludf.DUMMYFUNCTION("""COMPUTED_VALUE"""),65)</f>
        <v>65</v>
      </c>
      <c r="V27" s="2" t="str">
        <f ca="1">IFERROR(__xludf.DUMMYFUNCTION("""COMPUTED_VALUE"""),"8723, 7100, 8766, 7160, 8762, 8763, 7171, 8765")</f>
        <v>8723, 7100, 8766, 7160, 8762, 8763, 7171, 8765</v>
      </c>
      <c r="W27" s="2">
        <f ca="1">IFERROR(__xludf.DUMMYFUNCTION("""COMPUTED_VALUE"""),29)</f>
        <v>29</v>
      </c>
      <c r="X27" s="2" t="str">
        <f ca="1">IFERROR(__xludf.DUMMYFUNCTION("""COMPUTED_VALUE"""),"8766, 7100, 7323, 8763, 7160, 7171, 7173")</f>
        <v>8766, 7100, 7323, 8763, 7160, 7171, 7173</v>
      </c>
      <c r="Y27" s="2" t="str">
        <f ca="1">IFERROR(__xludf.DUMMYFUNCTION("""COMPUTED_VALUE"""),"ja")</f>
        <v>ja</v>
      </c>
      <c r="Z27" s="2"/>
      <c r="AA27" s="25"/>
      <c r="AB27" s="2" t="str">
        <f ca="1">IFERROR(__xludf.DUMMYFUNCTION("""COMPUTED_VALUE"""),"x")</f>
        <v>x</v>
      </c>
      <c r="AC27" s="2" t="str">
        <f ca="1">IFERROR(__xludf.DUMMYFUNCTION("""COMPUTED_VALUE"""),"x")</f>
        <v>x</v>
      </c>
      <c r="AD27" s="2" t="str">
        <f ca="1">IFERROR(__xludf.DUMMYFUNCTION("""COMPUTED_VALUE"""),"nej")</f>
        <v>nej</v>
      </c>
      <c r="AE27" s="2"/>
    </row>
    <row r="28" spans="1:31" ht="12.45">
      <c r="A28" s="2" t="str">
        <f ca="1">IFERROR(__xludf.DUMMYFUNCTION("""COMPUTED_VALUE"""),"Christian")</f>
        <v>Christian</v>
      </c>
      <c r="B28" s="2" t="str">
        <f ca="1">IFERROR(__xludf.DUMMYFUNCTION("""COMPUTED_VALUE"""),"danbolig Give")</f>
        <v>danbolig Give</v>
      </c>
      <c r="C28" s="26"/>
      <c r="D28" s="26" t="str">
        <f ca="1">IFERROR(__xludf.DUMMYFUNCTION("""COMPUTED_VALUE"""),"MG-PM-JY: 1.949,-")</f>
        <v>MG-PM-JY: 1.949,-</v>
      </c>
      <c r="E28" s="26">
        <f ca="1">IFERROR(__xludf.DUMMYFUNCTION("""COMPUTED_VALUE"""),1203)</f>
        <v>1203</v>
      </c>
      <c r="F28" s="26" t="str">
        <f ca="1">IFERROR(__xludf.DUMMYFUNCTION("""COMPUTED_VALUE"""),"Lars Secher Daglig leder, Ejendomsmægler MDE")</f>
        <v>Lars Secher Daglig leder, Ejendomsmægler MDE</v>
      </c>
      <c r="G28" s="2"/>
      <c r="H28" s="2"/>
      <c r="I28" s="2" t="str">
        <f ca="1">IFERROR(__xludf.DUMMYFUNCTION("""COMPUTED_VALUE"""),"Torvegade 5-7")</f>
        <v>Torvegade 5-7</v>
      </c>
      <c r="J28" s="2">
        <f ca="1">IFERROR(__xludf.DUMMYFUNCTION("""COMPUTED_VALUE"""),7323)</f>
        <v>7323</v>
      </c>
      <c r="K28" s="2" t="str">
        <f ca="1">IFERROR(__xludf.DUMMYFUNCTION("""COMPUTED_VALUE"""),"Give")</f>
        <v>Give</v>
      </c>
      <c r="L28" s="2" t="str">
        <f ca="1">IFERROR(__xludf.DUMMYFUNCTION("""COMPUTED_VALUE"""),"Vejle")</f>
        <v>Vejle</v>
      </c>
      <c r="M28" s="2" t="str">
        <f ca="1">IFERROR(__xludf.DUMMYFUNCTION("""COMPUTED_VALUE"""),"Sydjylland")</f>
        <v>Sydjylland</v>
      </c>
      <c r="N28" s="2" t="str">
        <f ca="1">IFERROR(__xludf.DUMMYFUNCTION("""COMPUTED_VALUE"""),"Syddanmark")</f>
        <v>Syddanmark</v>
      </c>
      <c r="O28" s="2" t="str">
        <f ca="1">IFERROR(__xludf.DUMMYFUNCTION("""COMPUTED_VALUE"""),"7573 9900")</f>
        <v>7573 9900</v>
      </c>
      <c r="P28" s="2" t="str">
        <f ca="1">IFERROR(__xludf.DUMMYFUNCTION("""COMPUTED_VALUE"""),"give@danbolig.dk")</f>
        <v>give@danbolig.dk</v>
      </c>
      <c r="Q28" s="27" t="str">
        <f ca="1">IFERROR(__xludf.DUMMYFUNCTION("""COMPUTED_VALUE"""),"https://www.boliga.dk/maegler/804")</f>
        <v>https://www.boliga.dk/maegler/804</v>
      </c>
      <c r="R28" s="2" t="str">
        <f ca="1">IFERROR(__xludf.DUMMYFUNCTION("""COMPUTED_VALUE"""),"7183, 7323, 7361, 8766")</f>
        <v>7183, 7323, 7361, 8766</v>
      </c>
      <c r="S28" s="29">
        <f ca="1">IFERROR(__xludf.DUMMYFUNCTION("""COMPUTED_VALUE"""),43811)</f>
        <v>43811</v>
      </c>
      <c r="T28" s="2" t="str">
        <f ca="1">IFERROR(__xludf.DUMMYFUNCTION("""COMPUTED_VALUE"""),"-")</f>
        <v>-</v>
      </c>
      <c r="U28" s="2">
        <f ca="1">IFERROR(__xludf.DUMMYFUNCTION("""COMPUTED_VALUE"""),49)</f>
        <v>49</v>
      </c>
      <c r="V28" s="2" t="str">
        <f ca="1">IFERROR(__xludf.DUMMYFUNCTION("""COMPUTED_VALUE"""),"7184, 7323, 7250, 7300, 7321, 7173, 7361, 7000, 8765, 7100, 8766")</f>
        <v>7184, 7323, 7250, 7300, 7321, 7173, 7361, 7000, 8765, 7100, 8766</v>
      </c>
      <c r="W28" s="2">
        <f ca="1">IFERROR(__xludf.DUMMYFUNCTION("""COMPUTED_VALUE"""),31)</f>
        <v>31</v>
      </c>
      <c r="X28" s="2" t="str">
        <f ca="1">IFERROR(__xludf.DUMMYFUNCTION("""COMPUTED_VALUE"""),"7321, 7300, 7361, 7323, 8762, 8766")</f>
        <v>7321, 7300, 7361, 7323, 8762, 8766</v>
      </c>
      <c r="Y28" s="2" t="str">
        <f ca="1">IFERROR(__xludf.DUMMYFUNCTION("""COMPUTED_VALUE"""),"ja")</f>
        <v>ja</v>
      </c>
      <c r="Z28" s="2" t="str">
        <f ca="1">IFERROR(__xludf.DUMMYFUNCTION("""COMPUTED_VALUE"""),"skal lige vendes med lars")</f>
        <v>skal lige vendes med lars</v>
      </c>
      <c r="AA28" s="25"/>
      <c r="AB28" s="2" t="str">
        <f ca="1">IFERROR(__xludf.DUMMYFUNCTION("""COMPUTED_VALUE"""),"x")</f>
        <v>x</v>
      </c>
      <c r="AC28" s="2"/>
      <c r="AD28" s="2" t="str">
        <f ca="1">IFERROR(__xludf.DUMMYFUNCTION("""COMPUTED_VALUE"""),"nej")</f>
        <v>nej</v>
      </c>
      <c r="AE28" s="2" t="str">
        <f ca="1">IFERROR(__xludf.DUMMYFUNCTION("""COMPUTED_VALUE"""),"de føler ikke de får nok værdi ud af det")</f>
        <v>de føler ikke de får nok værdi ud af det</v>
      </c>
    </row>
    <row r="29" spans="1:31" ht="12.45">
      <c r="A29" s="2" t="str">
        <f ca="1">IFERROR(__xludf.DUMMYFUNCTION("""COMPUTED_VALUE"""),"Christian")</f>
        <v>Christian</v>
      </c>
      <c r="B29" s="2" t="str">
        <f ca="1">IFERROR(__xludf.DUMMYFUNCTION("""COMPUTED_VALUE"""),"Estate Peter Møller - Fredericia")</f>
        <v>Estate Peter Møller - Fredericia</v>
      </c>
      <c r="C29" s="26"/>
      <c r="D29" s="26" t="str">
        <f ca="1">IFERROR(__xludf.DUMMYFUNCTION("""COMPUTED_VALUE"""),"MG-PM-JY: 1.949,-")</f>
        <v>MG-PM-JY: 1.949,-</v>
      </c>
      <c r="E29" s="26">
        <f ca="1">IFERROR(__xludf.DUMMYFUNCTION("""COMPUTED_VALUE"""),1203)</f>
        <v>1203</v>
      </c>
      <c r="F29" s="26" t="str">
        <f ca="1">IFERROR(__xludf.DUMMYFUNCTION("""COMPUTED_VALUE"""),"Peter Møller Indehaver, Ejendomsmægler &amp; Valuar MDE")</f>
        <v>Peter Møller Indehaver, Ejendomsmægler &amp; Valuar MDE</v>
      </c>
      <c r="G29" s="2"/>
      <c r="H29" s="2"/>
      <c r="I29" s="2" t="str">
        <f ca="1">IFERROR(__xludf.DUMMYFUNCTION("""COMPUTED_VALUE"""),"Erritsø Bygade 97")</f>
        <v>Erritsø Bygade 97</v>
      </c>
      <c r="J29" s="2">
        <f ca="1">IFERROR(__xludf.DUMMYFUNCTION("""COMPUTED_VALUE"""),7000)</f>
        <v>7000</v>
      </c>
      <c r="K29" s="2" t="str">
        <f ca="1">IFERROR(__xludf.DUMMYFUNCTION("""COMPUTED_VALUE"""),"Fredericia")</f>
        <v>Fredericia</v>
      </c>
      <c r="L29" s="2" t="str">
        <f ca="1">IFERROR(__xludf.DUMMYFUNCTION("""COMPUTED_VALUE"""),"Fredericia")</f>
        <v>Fredericia</v>
      </c>
      <c r="M29" s="2" t="str">
        <f ca="1">IFERROR(__xludf.DUMMYFUNCTION("""COMPUTED_VALUE"""),"Sydjylland")</f>
        <v>Sydjylland</v>
      </c>
      <c r="N29" s="2" t="str">
        <f ca="1">IFERROR(__xludf.DUMMYFUNCTION("""COMPUTED_VALUE"""),"Syddanmark")</f>
        <v>Syddanmark</v>
      </c>
      <c r="O29" s="2">
        <f ca="1">IFERROR(__xludf.DUMMYFUNCTION("""COMPUTED_VALUE"""),75920300)</f>
        <v>75920300</v>
      </c>
      <c r="P29" s="2" t="str">
        <f ca="1">IFERROR(__xludf.DUMMYFUNCTION("""COMPUTED_VALUE"""),"7000@estate.dk")</f>
        <v>7000@estate.dk</v>
      </c>
      <c r="Q29" s="27" t="str">
        <f ca="1">IFERROR(__xludf.DUMMYFUNCTION("""COMPUTED_VALUE"""),"https://www.boliga.dk/maegler/25121")</f>
        <v>https://www.boliga.dk/maegler/25121</v>
      </c>
      <c r="R29" s="2">
        <f ca="1">IFERROR(__xludf.DUMMYFUNCTION("""COMPUTED_VALUE"""),7000)</f>
        <v>7000</v>
      </c>
      <c r="S29" s="29">
        <f ca="1">IFERROR(__xludf.DUMMYFUNCTION("""COMPUTED_VALUE"""),43876)</f>
        <v>43876</v>
      </c>
      <c r="T29" s="2" t="str">
        <f ca="1">IFERROR(__xludf.DUMMYFUNCTION("""COMPUTED_VALUE"""),"-")</f>
        <v>-</v>
      </c>
      <c r="U29" s="2">
        <f ca="1">IFERROR(__xludf.DUMMYFUNCTION("""COMPUTED_VALUE"""),12)</f>
        <v>12</v>
      </c>
      <c r="V29" s="2">
        <f ca="1">IFERROR(__xludf.DUMMYFUNCTION("""COMPUTED_VALUE"""),7000)</f>
        <v>7000</v>
      </c>
      <c r="W29" s="2">
        <f ca="1">IFERROR(__xludf.DUMMYFUNCTION("""COMPUTED_VALUE"""),14)</f>
        <v>14</v>
      </c>
      <c r="X29" s="2">
        <f ca="1">IFERROR(__xludf.DUMMYFUNCTION("""COMPUTED_VALUE"""),7000)</f>
        <v>7000</v>
      </c>
      <c r="Y29" s="2" t="str">
        <f ca="1">IFERROR(__xludf.DUMMYFUNCTION("""COMPUTED_VALUE"""),"ja")</f>
        <v>ja</v>
      </c>
      <c r="Z29" s="2" t="str">
        <f ca="1">IFERROR(__xludf.DUMMYFUNCTION("""COMPUTED_VALUE"""),"siger også ja til PM")</f>
        <v>siger også ja til PM</v>
      </c>
      <c r="AA29" s="25"/>
      <c r="AB29" s="2" t="str">
        <f ca="1">IFERROR(__xludf.DUMMYFUNCTION("""COMPUTED_VALUE"""),"x")</f>
        <v>x</v>
      </c>
      <c r="AC29" s="2" t="str">
        <f ca="1">IFERROR(__xludf.DUMMYFUNCTION("""COMPUTED_VALUE"""),"x")</f>
        <v>x</v>
      </c>
      <c r="AD29" s="2" t="str">
        <f ca="1">IFERROR(__xludf.DUMMYFUNCTION("""COMPUTED_VALUE"""),"ja")</f>
        <v>ja</v>
      </c>
      <c r="AE29" s="2"/>
    </row>
    <row r="30" spans="1:31" ht="12.45">
      <c r="A30" s="2" t="str">
        <f ca="1">IFERROR(__xludf.DUMMYFUNCTION("""COMPUTED_VALUE"""),"Christian")</f>
        <v>Christian</v>
      </c>
      <c r="B30" s="2" t="str">
        <f ca="1">IFERROR(__xludf.DUMMYFUNCTION("""COMPUTED_VALUE"""),"Nybolig Herning")</f>
        <v>Nybolig Herning</v>
      </c>
      <c r="C30" s="26">
        <f ca="1">IFERROR(__xludf.DUMMYFUNCTION("""COMPUTED_VALUE"""),32612741)</f>
        <v>32612741</v>
      </c>
      <c r="D30" s="26" t="str">
        <f ca="1">IFERROR(__xludf.DUMMYFUNCTION("""COMPUTED_VALUE"""),"MG-PM-JY: 1.949,-")</f>
        <v>MG-PM-JY: 1.949,-</v>
      </c>
      <c r="E30" s="26">
        <f ca="1">IFERROR(__xludf.DUMMYFUNCTION("""COMPUTED_VALUE"""),1203)</f>
        <v>1203</v>
      </c>
      <c r="F30" s="26" t="str">
        <f ca="1">IFERROR(__xludf.DUMMYFUNCTION("""COMPUTED_VALUE"""),"Povl Hollenvad")</f>
        <v>Povl Hollenvad</v>
      </c>
      <c r="G30" s="2" t="str">
        <f ca="1">IFERROR(__xludf.DUMMYFUNCTION("""COMPUTED_VALUE"""),"pho@nybolig.dk")</f>
        <v>pho@nybolig.dk</v>
      </c>
      <c r="H30" s="2"/>
      <c r="I30" s="2" t="str">
        <f ca="1">IFERROR(__xludf.DUMMYFUNCTION("""COMPUTED_VALUE"""),"Dalgas Plads 6, 1. tv.")</f>
        <v>Dalgas Plads 6, 1. tv.</v>
      </c>
      <c r="J30" s="2">
        <f ca="1">IFERROR(__xludf.DUMMYFUNCTION("""COMPUTED_VALUE"""),7400)</f>
        <v>7400</v>
      </c>
      <c r="K30" s="2" t="str">
        <f ca="1">IFERROR(__xludf.DUMMYFUNCTION("""COMPUTED_VALUE"""),"Herning")</f>
        <v>Herning</v>
      </c>
      <c r="L30" s="2" t="str">
        <f ca="1">IFERROR(__xludf.DUMMYFUNCTION("""COMPUTED_VALUE"""),"Herning")</f>
        <v>Herning</v>
      </c>
      <c r="M30" s="2" t="str">
        <f ca="1">IFERROR(__xludf.DUMMYFUNCTION("""COMPUTED_VALUE"""),"Vestjylland")</f>
        <v>Vestjylland</v>
      </c>
      <c r="N30" s="2" t="str">
        <f ca="1">IFERROR(__xludf.DUMMYFUNCTION("""COMPUTED_VALUE"""),"Midtjylland")</f>
        <v>Midtjylland</v>
      </c>
      <c r="O30" s="2" t="str">
        <f ca="1">IFERROR(__xludf.DUMMYFUNCTION("""COMPUTED_VALUE"""),"7025 4050")</f>
        <v>7025 4050</v>
      </c>
      <c r="P30" s="2" t="str">
        <f ca="1">IFERROR(__xludf.DUMMYFUNCTION("""COMPUTED_VALUE"""),"7402@nybolig.dk")</f>
        <v>7402@nybolig.dk</v>
      </c>
      <c r="Q30" s="27" t="str">
        <f ca="1">IFERROR(__xludf.DUMMYFUNCTION("""COMPUTED_VALUE"""),"https://www.boliga.dk/maegler/374")</f>
        <v>https://www.boliga.dk/maegler/374</v>
      </c>
      <c r="R30" s="2" t="str">
        <f ca="1">IFERROR(__xludf.DUMMYFUNCTION("""COMPUTED_VALUE"""),"6933, 7400, 7451, 7480")</f>
        <v>6933, 7400, 7451, 7480</v>
      </c>
      <c r="S30" s="28">
        <f ca="1">IFERROR(__xludf.DUMMYFUNCTION("""COMPUTED_VALUE"""),43906)</f>
        <v>43906</v>
      </c>
      <c r="T30" s="2" t="str">
        <f ca="1">IFERROR(__xludf.DUMMYFUNCTION("""COMPUTED_VALUE"""),"-")</f>
        <v>-</v>
      </c>
      <c r="U30" s="2">
        <f ca="1">IFERROR(__xludf.DUMMYFUNCTION("""COMPUTED_VALUE"""),57)</f>
        <v>57</v>
      </c>
      <c r="V30" s="2" t="str">
        <f ca="1">IFERROR(__xludf.DUMMYFUNCTION("""COMPUTED_VALUE"""),"7480, 6933, 7451, 7400")</f>
        <v>7480, 6933, 7451, 7400</v>
      </c>
      <c r="W30" s="2">
        <f ca="1">IFERROR(__xludf.DUMMYFUNCTION("""COMPUTED_VALUE"""),27)</f>
        <v>27</v>
      </c>
      <c r="X30" s="2" t="str">
        <f ca="1">IFERROR(__xludf.DUMMYFUNCTION("""COMPUTED_VALUE"""),"7480, 7400, 7451, 6933")</f>
        <v>7480, 7400, 7451, 6933</v>
      </c>
      <c r="Y30" s="2" t="str">
        <f ca="1">IFERROR(__xludf.DUMMYFUNCTION("""COMPUTED_VALUE"""),"ja")</f>
        <v>ja</v>
      </c>
      <c r="Z30" s="2" t="str">
        <f ca="1">IFERROR(__xludf.DUMMYFUNCTION("""COMPUTED_VALUE"""),"han er meget positiv, skal lige vende den med de andre")</f>
        <v>han er meget positiv, skal lige vende den med de andre</v>
      </c>
      <c r="AA30" s="25"/>
      <c r="AB30" s="2" t="str">
        <f ca="1">IFERROR(__xludf.DUMMYFUNCTION("""COMPUTED_VALUE"""),"x")</f>
        <v>x</v>
      </c>
      <c r="AC30" s="2" t="str">
        <f ca="1">IFERROR(__xludf.DUMMYFUNCTION("""COMPUTED_VALUE"""),"x")</f>
        <v>x</v>
      </c>
      <c r="AD30" s="2" t="str">
        <f ca="1">IFERROR(__xludf.DUMMYFUNCTION("""COMPUTED_VALUE"""),"ja")</f>
        <v>ja</v>
      </c>
      <c r="AE30" s="2"/>
    </row>
    <row r="31" spans="1:31" ht="12.45">
      <c r="A31" s="2" t="str">
        <f ca="1">IFERROR(__xludf.DUMMYFUNCTION("""COMPUTED_VALUE"""),"Christian")</f>
        <v>Christian</v>
      </c>
      <c r="B31" s="2" t="str">
        <f ca="1">IFERROR(__xludf.DUMMYFUNCTION("""COMPUTED_VALUE"""),"home Farum")</f>
        <v>home Farum</v>
      </c>
      <c r="C31" s="26">
        <f ca="1">IFERROR(__xludf.DUMMYFUNCTION("""COMPUTED_VALUE"""),32259286)</f>
        <v>32259286</v>
      </c>
      <c r="D31" s="26" t="str">
        <f ca="1">IFERROR(__xludf.DUMMYFUNCTION("""COMPUTED_VALUE"""),"MG-PM-SJ: 2.600,-")</f>
        <v>MG-PM-SJ: 2.600,-</v>
      </c>
      <c r="E31" s="26">
        <f ca="1">IFERROR(__xludf.DUMMYFUNCTION("""COMPUTED_VALUE"""),1204)</f>
        <v>1204</v>
      </c>
      <c r="F31" s="26" t="str">
        <f ca="1">IFERROR(__xludf.DUMMYFUNCTION("""COMPUTED_VALUE"""),"Michael Hoffmann")</f>
        <v>Michael Hoffmann</v>
      </c>
      <c r="G31" s="2" t="str">
        <f ca="1">IFERROR(__xludf.DUMMYFUNCTION("""COMPUTED_VALUE"""),"hoff@home.dk")</f>
        <v>hoff@home.dk</v>
      </c>
      <c r="H31" s="2"/>
      <c r="I31" s="2" t="str">
        <f ca="1">IFERROR(__xludf.DUMMYFUNCTION("""COMPUTED_VALUE"""),"Farum Hovedgade 50 B")</f>
        <v>Farum Hovedgade 50 B</v>
      </c>
      <c r="J31" s="2">
        <f ca="1">IFERROR(__xludf.DUMMYFUNCTION("""COMPUTED_VALUE"""),3520)</f>
        <v>3520</v>
      </c>
      <c r="K31" s="2" t="str">
        <f ca="1">IFERROR(__xludf.DUMMYFUNCTION("""COMPUTED_VALUE"""),"Farum")</f>
        <v>Farum</v>
      </c>
      <c r="L31" s="2" t="str">
        <f ca="1">IFERROR(__xludf.DUMMYFUNCTION("""COMPUTED_VALUE"""),"Furesø")</f>
        <v>Furesø</v>
      </c>
      <c r="M31" s="2" t="str">
        <f ca="1">IFERROR(__xludf.DUMMYFUNCTION("""COMPUTED_VALUE"""),"Nordsjælland")</f>
        <v>Nordsjælland</v>
      </c>
      <c r="N31" s="2" t="str">
        <f ca="1">IFERROR(__xludf.DUMMYFUNCTION("""COMPUTED_VALUE"""),"Hovedstaden")</f>
        <v>Hovedstaden</v>
      </c>
      <c r="O31" s="2" t="str">
        <f ca="1">IFERROR(__xludf.DUMMYFUNCTION("""COMPUTED_VALUE"""),"44 95 20 77")</f>
        <v>44 95 20 77</v>
      </c>
      <c r="P31" s="2" t="str">
        <f ca="1">IFERROR(__xludf.DUMMYFUNCTION("""COMPUTED_VALUE"""),"122@home.dk")</f>
        <v>122@home.dk</v>
      </c>
      <c r="Q31" s="27" t="str">
        <f ca="1">IFERROR(__xludf.DUMMYFUNCTION("""COMPUTED_VALUE"""),"https://www.boliga.dk/maegler/752")</f>
        <v>https://www.boliga.dk/maegler/752</v>
      </c>
      <c r="R31" s="2">
        <f ca="1">IFERROR(__xludf.DUMMYFUNCTION("""COMPUTED_VALUE"""),3520)</f>
        <v>3520</v>
      </c>
      <c r="S31" s="28">
        <f ca="1">IFERROR(__xludf.DUMMYFUNCTION("""COMPUTED_VALUE"""),44104)</f>
        <v>44104</v>
      </c>
      <c r="T31" s="29" t="str">
        <f ca="1">IFERROR(__xludf.DUMMYFUNCTION("""COMPUTED_VALUE"""),"-")</f>
        <v>-</v>
      </c>
      <c r="U31" s="2">
        <f ca="1">IFERROR(__xludf.DUMMYFUNCTION("""COMPUTED_VALUE"""),19)</f>
        <v>19</v>
      </c>
      <c r="V31" s="2" t="str">
        <f ca="1">IFERROR(__xludf.DUMMYFUNCTION("""COMPUTED_VALUE"""),"3520, 3660")</f>
        <v>3520, 3660</v>
      </c>
      <c r="W31" s="2">
        <f ca="1">IFERROR(__xludf.DUMMYFUNCTION("""COMPUTED_VALUE"""),18)</f>
        <v>18</v>
      </c>
      <c r="X31" s="2">
        <f ca="1">IFERROR(__xludf.DUMMYFUNCTION("""COMPUTED_VALUE"""),3520)</f>
        <v>3520</v>
      </c>
      <c r="Y31" s="2" t="str">
        <f ca="1">IFERROR(__xludf.DUMMYFUNCTION("""COMPUTED_VALUE"""),"ja")</f>
        <v>ja</v>
      </c>
      <c r="Z31" s="2" t="str">
        <f ca="1">IFERROR(__xludf.DUMMYFUNCTION("""COMPUTED_VALUE"""),"siger også ja til PM")</f>
        <v>siger også ja til PM</v>
      </c>
      <c r="AA31" s="25"/>
      <c r="AB31" s="2" t="str">
        <f ca="1">IFERROR(__xludf.DUMMYFUNCTION("""COMPUTED_VALUE"""),"x")</f>
        <v>x</v>
      </c>
      <c r="AC31" s="2" t="str">
        <f ca="1">IFERROR(__xludf.DUMMYFUNCTION("""COMPUTED_VALUE"""),"x")</f>
        <v>x</v>
      </c>
      <c r="AD31" s="2" t="str">
        <f ca="1">IFERROR(__xludf.DUMMYFUNCTION("""COMPUTED_VALUE"""),"ja")</f>
        <v>ja</v>
      </c>
      <c r="AE31" s="2"/>
    </row>
    <row r="32" spans="1:31" ht="24.9">
      <c r="A32" s="2" t="str">
        <f ca="1">IFERROR(__xludf.DUMMYFUNCTION("""COMPUTED_VALUE"""),"Christian")</f>
        <v>Christian</v>
      </c>
      <c r="B32" s="2" t="str">
        <f ca="1">IFERROR(__xludf.DUMMYFUNCTION("""COMPUTED_VALUE"""),"EDC Grosbøl ApS, Vojens")</f>
        <v>EDC Grosbøl ApS, Vojens</v>
      </c>
      <c r="C32" s="26">
        <f ca="1">IFERROR(__xludf.DUMMYFUNCTION("""COMPUTED_VALUE"""),29197660)</f>
        <v>29197660</v>
      </c>
      <c r="D32" s="26" t="str">
        <f ca="1">IFERROR(__xludf.DUMMYFUNCTION("""COMPUTED_VALUE"""),"MG-PM-JY: 1.949,-")</f>
        <v>MG-PM-JY: 1.949,-</v>
      </c>
      <c r="E32" s="26">
        <f ca="1">IFERROR(__xludf.DUMMYFUNCTION("""COMPUTED_VALUE"""),1203)</f>
        <v>1203</v>
      </c>
      <c r="F32" s="26" t="str">
        <f ca="1">IFERROR(__xludf.DUMMYFUNCTION("""COMPUTED_VALUE"""),"Jesper Riistofte Christiansen, Partner, Ejendomsmægler")</f>
        <v>Jesper Riistofte Christiansen, Partner, Ejendomsmægler</v>
      </c>
      <c r="G32" s="2" t="str">
        <f ca="1">IFERROR(__xludf.DUMMYFUNCTION("""COMPUTED_VALUE"""),"jech@edc.dk")</f>
        <v>jech@edc.dk</v>
      </c>
      <c r="H32" s="2"/>
      <c r="I32" s="2" t="str">
        <f ca="1">IFERROR(__xludf.DUMMYFUNCTION("""COMPUTED_VALUE"""),"Rådhuscentret 2")</f>
        <v>Rådhuscentret 2</v>
      </c>
      <c r="J32" s="2">
        <f ca="1">IFERROR(__xludf.DUMMYFUNCTION("""COMPUTED_VALUE"""),6500)</f>
        <v>6500</v>
      </c>
      <c r="K32" s="2" t="str">
        <f ca="1">IFERROR(__xludf.DUMMYFUNCTION("""COMPUTED_VALUE"""),"Vojens")</f>
        <v>Vojens</v>
      </c>
      <c r="L32" s="2" t="str">
        <f ca="1">IFERROR(__xludf.DUMMYFUNCTION("""COMPUTED_VALUE"""),"Haderslev")</f>
        <v>Haderslev</v>
      </c>
      <c r="M32" s="2" t="str">
        <f ca="1">IFERROR(__xludf.DUMMYFUNCTION("""COMPUTED_VALUE"""),"Sydjylland")</f>
        <v>Sydjylland</v>
      </c>
      <c r="N32" s="2" t="str">
        <f ca="1">IFERROR(__xludf.DUMMYFUNCTION("""COMPUTED_VALUE"""),"Syddanmark")</f>
        <v>Syddanmark</v>
      </c>
      <c r="O32" s="2" t="str">
        <f ca="1">IFERROR(__xludf.DUMMYFUNCTION("""COMPUTED_VALUE"""),"74 54 24 84")</f>
        <v>74 54 24 84</v>
      </c>
      <c r="P32" s="2" t="str">
        <f ca="1">IFERROR(__xludf.DUMMYFUNCTION("""COMPUTED_VALUE"""),"609@edc.dk")</f>
        <v>609@edc.dk</v>
      </c>
      <c r="Q32" s="27" t="str">
        <f ca="1">IFERROR(__xludf.DUMMYFUNCTION("""COMPUTED_VALUE"""),"https://www.boliga.dk/maegler/407")</f>
        <v>https://www.boliga.dk/maegler/407</v>
      </c>
      <c r="R32" s="2" t="str">
        <f ca="1">IFERROR(__xludf.DUMMYFUNCTION("""COMPUTED_VALUE"""),"6500, 6510, 6541, 6560, 6520")</f>
        <v>6500, 6510, 6541, 6560, 6520</v>
      </c>
      <c r="S32" s="29">
        <f ca="1">IFERROR(__xludf.DUMMYFUNCTION("""COMPUTED_VALUE"""),44174)</f>
        <v>44174</v>
      </c>
      <c r="T32" s="2" t="str">
        <f ca="1">IFERROR(__xludf.DUMMYFUNCTION("""COMPUTED_VALUE"""),"-")</f>
        <v>-</v>
      </c>
      <c r="U32" s="2">
        <f ca="1">IFERROR(__xludf.DUMMYFUNCTION("""COMPUTED_VALUE"""),69)</f>
        <v>69</v>
      </c>
      <c r="V32" s="2" t="str">
        <f ca="1">IFERROR(__xludf.DUMMYFUNCTION("""COMPUTED_VALUE"""),"6100, 6560, 6510, 6230, 6520, 6780, 6621, 6500, 6541, 6630")</f>
        <v>6100, 6560, 6510, 6230, 6520, 6780, 6621, 6500, 6541, 6630</v>
      </c>
      <c r="W32" s="2">
        <f ca="1">IFERROR(__xludf.DUMMYFUNCTION("""COMPUTED_VALUE"""),72)</f>
        <v>72</v>
      </c>
      <c r="X32" s="2" t="str">
        <f ca="1">IFERROR(__xludf.DUMMYFUNCTION("""COMPUTED_VALUE"""),"6100, 6070, 6510, 6500, 6560, 6541, 6630")</f>
        <v>6100, 6070, 6510, 6500, 6560, 6541, 6630</v>
      </c>
      <c r="Y32" s="2" t="str">
        <f ca="1">IFERROR(__xludf.DUMMYFUNCTION("""COMPUTED_VALUE"""),"ja")</f>
        <v>ja</v>
      </c>
      <c r="Z32" s="2"/>
      <c r="AA32" s="25"/>
      <c r="AB32" s="2" t="str">
        <f ca="1">IFERROR(__xludf.DUMMYFUNCTION("""COMPUTED_VALUE"""),"x")</f>
        <v>x</v>
      </c>
      <c r="AC32" s="2" t="str">
        <f ca="1">IFERROR(__xludf.DUMMYFUNCTION("""COMPUTED_VALUE"""),"x")</f>
        <v>x</v>
      </c>
      <c r="AD32" s="2" t="str">
        <f ca="1">IFERROR(__xludf.DUMMYFUNCTION("""COMPUTED_VALUE"""),"ja")</f>
        <v>ja</v>
      </c>
      <c r="AE32" s="2"/>
    </row>
    <row r="33" spans="1:31" ht="12.45">
      <c r="A33" s="2" t="str">
        <f ca="1">IFERROR(__xludf.DUMMYFUNCTION("""COMPUTED_VALUE"""),"Christian")</f>
        <v>Christian</v>
      </c>
      <c r="B33" s="2" t="str">
        <f ca="1">IFERROR(__xludf.DUMMYFUNCTION("""COMPUTED_VALUE"""),"Nybolig Lemvig")</f>
        <v>Nybolig Lemvig</v>
      </c>
      <c r="C33" s="26"/>
      <c r="D33" s="26" t="str">
        <f ca="1">IFERROR(__xludf.DUMMYFUNCTION("""COMPUTED_VALUE"""),"MG-PM-JY: 1.949,-")</f>
        <v>MG-PM-JY: 1.949,-</v>
      </c>
      <c r="E33" s="26">
        <f ca="1">IFERROR(__xludf.DUMMYFUNCTION("""COMPUTED_VALUE"""),1203)</f>
        <v>1203</v>
      </c>
      <c r="F33" s="26" t="str">
        <f ca="1">IFERROR(__xludf.DUMMYFUNCTION("""COMPUTED_VALUE"""),"Rasmus Nielsen")</f>
        <v>Rasmus Nielsen</v>
      </c>
      <c r="G33" s="2"/>
      <c r="H33" s="2"/>
      <c r="I33" s="2" t="str">
        <f ca="1">IFERROR(__xludf.DUMMYFUNCTION("""COMPUTED_VALUE"""),"Vestergade 25")</f>
        <v>Vestergade 25</v>
      </c>
      <c r="J33" s="2">
        <f ca="1">IFERROR(__xludf.DUMMYFUNCTION("""COMPUTED_VALUE"""),7620)</f>
        <v>7620</v>
      </c>
      <c r="K33" s="2" t="str">
        <f ca="1">IFERROR(__xludf.DUMMYFUNCTION("""COMPUTED_VALUE"""),"Lemvig")</f>
        <v>Lemvig</v>
      </c>
      <c r="L33" s="2" t="str">
        <f ca="1">IFERROR(__xludf.DUMMYFUNCTION("""COMPUTED_VALUE"""),"Lemvig")</f>
        <v>Lemvig</v>
      </c>
      <c r="M33" s="2" t="str">
        <f ca="1">IFERROR(__xludf.DUMMYFUNCTION("""COMPUTED_VALUE"""),"Vestjylland")</f>
        <v>Vestjylland</v>
      </c>
      <c r="N33" s="2" t="str">
        <f ca="1">IFERROR(__xludf.DUMMYFUNCTION("""COMPUTED_VALUE"""),"Midtjylland")</f>
        <v>Midtjylland</v>
      </c>
      <c r="O33" s="2" t="str">
        <f ca="1">IFERROR(__xludf.DUMMYFUNCTION("""COMPUTED_VALUE"""),"9782 1800")</f>
        <v>9782 1800</v>
      </c>
      <c r="P33" s="2" t="str">
        <f ca="1">IFERROR(__xludf.DUMMYFUNCTION("""COMPUTED_VALUE"""),"7620@nybolig.dk")</f>
        <v>7620@nybolig.dk</v>
      </c>
      <c r="Q33" s="27" t="str">
        <f ca="1">IFERROR(__xludf.DUMMYFUNCTION("""COMPUTED_VALUE"""),"https://www.boliga.dk/maegler/540")</f>
        <v>https://www.boliga.dk/maegler/540</v>
      </c>
      <c r="R33" s="2" t="str">
        <f ca="1">IFERROR(__xludf.DUMMYFUNCTION("""COMPUTED_VALUE"""),"7650, 7660, 7620, 7673, 7680")</f>
        <v>7650, 7660, 7620, 7673, 7680</v>
      </c>
      <c r="S33" s="28">
        <f ca="1">IFERROR(__xludf.DUMMYFUNCTION("""COMPUTED_VALUE"""),44200)</f>
        <v>44200</v>
      </c>
      <c r="T33" s="2" t="str">
        <f ca="1">IFERROR(__xludf.DUMMYFUNCTION("""COMPUTED_VALUE"""),"-")</f>
        <v>-</v>
      </c>
      <c r="U33" s="2">
        <f ca="1">IFERROR(__xludf.DUMMYFUNCTION("""COMPUTED_VALUE"""),44)</f>
        <v>44</v>
      </c>
      <c r="V33" s="2" t="str">
        <f ca="1">IFERROR(__xludf.DUMMYFUNCTION("""COMPUTED_VALUE"""),"7650, 6950, 7620, 7673")</f>
        <v>7650, 6950, 7620, 7673</v>
      </c>
      <c r="W33" s="2">
        <f ca="1">IFERROR(__xludf.DUMMYFUNCTION("""COMPUTED_VALUE"""),27)</f>
        <v>27</v>
      </c>
      <c r="X33" s="2" t="str">
        <f ca="1">IFERROR(__xludf.DUMMYFUNCTION("""COMPUTED_VALUE"""),"7660, 7650, 7680, 7620, 7673, 7770")</f>
        <v>7660, 7650, 7680, 7620, 7673, 7770</v>
      </c>
      <c r="Y33" s="2" t="str">
        <f ca="1">IFERROR(__xludf.DUMMYFUNCTION("""COMPUTED_VALUE"""),"ja")</f>
        <v>ja</v>
      </c>
      <c r="Z33" s="2" t="str">
        <f ca="1">IFERROR(__xludf.DUMMYFUNCTION("""COMPUTED_VALUE"""),"sendt opf mail 29/6")</f>
        <v>sendt opf mail 29/6</v>
      </c>
      <c r="AA33" s="25"/>
      <c r="AB33" s="2" t="str">
        <f ca="1">IFERROR(__xludf.DUMMYFUNCTION("""COMPUTED_VALUE"""),"x")</f>
        <v>x</v>
      </c>
      <c r="AC33" s="2"/>
      <c r="AD33" s="2" t="str">
        <f ca="1">IFERROR(__xludf.DUMMYFUNCTION("""COMPUTED_VALUE"""),"ja")</f>
        <v>ja</v>
      </c>
      <c r="AE33" s="2"/>
    </row>
    <row r="34" spans="1:31" ht="12.45">
      <c r="A34" s="2" t="str">
        <f ca="1">IFERROR(__xludf.DUMMYFUNCTION("""COMPUTED_VALUE"""),"Christian")</f>
        <v>Christian</v>
      </c>
      <c r="B34" s="2" t="str">
        <f ca="1">IFERROR(__xludf.DUMMYFUNCTION("""COMPUTED_VALUE"""),"Nybolig Vejle")</f>
        <v>Nybolig Vejle</v>
      </c>
      <c r="C34" s="26"/>
      <c r="D34" s="26" t="str">
        <f ca="1">IFERROR(__xludf.DUMMYFUNCTION("""COMPUTED_VALUE"""),"MG-PM-JY: 1.949,-")</f>
        <v>MG-PM-JY: 1.949,-</v>
      </c>
      <c r="E34" s="26">
        <f ca="1">IFERROR(__xludf.DUMMYFUNCTION("""COMPUTED_VALUE"""),1203)</f>
        <v>1203</v>
      </c>
      <c r="F34" s="26" t="str">
        <f ca="1">IFERROR(__xludf.DUMMYFUNCTION("""COMPUTED_VALUE"""),"Frank Bruun, Ejendomsmægler, MDE, Indehaver")</f>
        <v>Frank Bruun, Ejendomsmægler, MDE, Indehaver</v>
      </c>
      <c r="G34" s="2"/>
      <c r="H34" s="2"/>
      <c r="I34" s="2" t="str">
        <f ca="1">IFERROR(__xludf.DUMMYFUNCTION("""COMPUTED_VALUE"""),"Damhaven 5 B")</f>
        <v>Damhaven 5 B</v>
      </c>
      <c r="J34" s="2">
        <f ca="1">IFERROR(__xludf.DUMMYFUNCTION("""COMPUTED_VALUE"""),7100)</f>
        <v>7100</v>
      </c>
      <c r="K34" s="2" t="str">
        <f ca="1">IFERROR(__xludf.DUMMYFUNCTION("""COMPUTED_VALUE"""),"Vejle")</f>
        <v>Vejle</v>
      </c>
      <c r="L34" s="2" t="str">
        <f ca="1">IFERROR(__xludf.DUMMYFUNCTION("""COMPUTED_VALUE"""),"Vejle")</f>
        <v>Vejle</v>
      </c>
      <c r="M34" s="2" t="str">
        <f ca="1">IFERROR(__xludf.DUMMYFUNCTION("""COMPUTED_VALUE"""),"Sydjylland")</f>
        <v>Sydjylland</v>
      </c>
      <c r="N34" s="2" t="str">
        <f ca="1">IFERROR(__xludf.DUMMYFUNCTION("""COMPUTED_VALUE"""),"Syddanmark")</f>
        <v>Syddanmark</v>
      </c>
      <c r="O34" s="2" t="str">
        <f ca="1">IFERROR(__xludf.DUMMYFUNCTION("""COMPUTED_VALUE"""),"7582 7600")</f>
        <v>7582 7600</v>
      </c>
      <c r="P34" s="2" t="str">
        <f ca="1">IFERROR(__xludf.DUMMYFUNCTION("""COMPUTED_VALUE"""),"7100@nybolig.dk")</f>
        <v>7100@nybolig.dk</v>
      </c>
      <c r="Q34" s="27" t="str">
        <f ca="1">IFERROR(__xludf.DUMMYFUNCTION("""COMPUTED_VALUE"""),"https://www.boliga.dk/maegler/673")</f>
        <v>https://www.boliga.dk/maegler/673</v>
      </c>
      <c r="R34" s="2" t="str">
        <f ca="1">IFERROR(__xludf.DUMMYFUNCTION("""COMPUTED_VALUE"""),"7100, 7120, 7182, 8721")</f>
        <v>7100, 7120, 7182, 8721</v>
      </c>
      <c r="S34" s="29">
        <f ca="1">IFERROR(__xludf.DUMMYFUNCTION("""COMPUTED_VALUE"""),44319)</f>
        <v>44319</v>
      </c>
      <c r="T34" s="2" t="str">
        <f ca="1">IFERROR(__xludf.DUMMYFUNCTION("""COMPUTED_VALUE"""),"-")</f>
        <v>-</v>
      </c>
      <c r="U34" s="2">
        <f ca="1">IFERROR(__xludf.DUMMYFUNCTION("""COMPUTED_VALUE"""),36)</f>
        <v>36</v>
      </c>
      <c r="V34" s="2" t="str">
        <f ca="1">IFERROR(__xludf.DUMMYFUNCTION("""COMPUTED_VALUE"""),"7300, 6040, 7100, 7182, 7120")</f>
        <v>7300, 6040, 7100, 7182, 7120</v>
      </c>
      <c r="W34" s="2">
        <f ca="1">IFERROR(__xludf.DUMMYFUNCTION("""COMPUTED_VALUE"""),25)</f>
        <v>25</v>
      </c>
      <c r="X34" s="2" t="str">
        <f ca="1">IFERROR(__xludf.DUMMYFUNCTION("""COMPUTED_VALUE"""),"7100, 7120, 7182")</f>
        <v>7100, 7120, 7182</v>
      </c>
      <c r="Y34" s="2" t="str">
        <f ca="1">IFERROR(__xludf.DUMMYFUNCTION("""COMPUTED_VALUE"""),"ja")</f>
        <v>ja</v>
      </c>
      <c r="Z34" s="2" t="str">
        <f ca="1">IFERROR(__xludf.DUMMYFUNCTION("""COMPUTED_VALUE"""),"sendt opf mail 29/6")</f>
        <v>sendt opf mail 29/6</v>
      </c>
      <c r="AA34" s="25"/>
      <c r="AB34" s="2" t="str">
        <f ca="1">IFERROR(__xludf.DUMMYFUNCTION("""COMPUTED_VALUE"""),"x")</f>
        <v>x</v>
      </c>
      <c r="AC34" s="2"/>
      <c r="AD34" s="2" t="str">
        <f ca="1">IFERROR(__xludf.DUMMYFUNCTION("""COMPUTED_VALUE"""),"ja")</f>
        <v>ja</v>
      </c>
      <c r="AE34" s="2"/>
    </row>
    <row r="35" spans="1:31" ht="12.45">
      <c r="A35" s="2" t="str">
        <f ca="1">IFERROR(__xludf.DUMMYFUNCTION("""COMPUTED_VALUE"""),"Christian")</f>
        <v>Christian</v>
      </c>
      <c r="B35" s="2" t="str">
        <f ca="1">IFERROR(__xludf.DUMMYFUNCTION("""COMPUTED_VALUE"""),"EDC Ikast")</f>
        <v>EDC Ikast</v>
      </c>
      <c r="C35" s="26" t="str">
        <f ca="1">IFERROR(__xludf.DUMMYFUNCTION("""COMPUTED_VALUE"""),"26 10 08 95")</f>
        <v>26 10 08 95</v>
      </c>
      <c r="D35" s="26" t="str">
        <f ca="1">IFERROR(__xludf.DUMMYFUNCTION("""COMPUTED_VALUE"""),"MG-JY: 2.499,-")</f>
        <v>MG-JY: 2.499,-</v>
      </c>
      <c r="E35" s="26">
        <f ca="1">IFERROR(__xludf.DUMMYFUNCTION("""COMPUTED_VALUE"""),1201)</f>
        <v>1201</v>
      </c>
      <c r="F35" s="26" t="str">
        <f ca="1">IFERROR(__xludf.DUMMYFUNCTION("""COMPUTED_VALUE"""),"Nicolai Søgaard Møller")</f>
        <v>Nicolai Søgaard Møller</v>
      </c>
      <c r="G35" s="2" t="str">
        <f ca="1">IFERROR(__xludf.DUMMYFUNCTION("""COMPUTED_VALUE"""),"nmo@edc.dk")</f>
        <v>nmo@edc.dk</v>
      </c>
      <c r="H35" s="2"/>
      <c r="I35" s="2" t="str">
        <f ca="1">IFERROR(__xludf.DUMMYFUNCTION("""COMPUTED_VALUE"""),"Strøget 34")</f>
        <v>Strøget 34</v>
      </c>
      <c r="J35" s="2">
        <f ca="1">IFERROR(__xludf.DUMMYFUNCTION("""COMPUTED_VALUE"""),7430)</f>
        <v>7430</v>
      </c>
      <c r="K35" s="2" t="str">
        <f ca="1">IFERROR(__xludf.DUMMYFUNCTION("""COMPUTED_VALUE"""),"Ikast")</f>
        <v>Ikast</v>
      </c>
      <c r="L35" s="2" t="str">
        <f ca="1">IFERROR(__xludf.DUMMYFUNCTION("""COMPUTED_VALUE"""),"Ikast-Brande")</f>
        <v>Ikast-Brande</v>
      </c>
      <c r="M35" s="2" t="str">
        <f ca="1">IFERROR(__xludf.DUMMYFUNCTION("""COMPUTED_VALUE"""),"Vestjylland")</f>
        <v>Vestjylland</v>
      </c>
      <c r="N35" s="2" t="str">
        <f ca="1">IFERROR(__xludf.DUMMYFUNCTION("""COMPUTED_VALUE"""),"Midtjylland")</f>
        <v>Midtjylland</v>
      </c>
      <c r="O35" s="2" t="str">
        <f ca="1">IFERROR(__xludf.DUMMYFUNCTION("""COMPUTED_VALUE"""),"97 15 33 22")</f>
        <v>97 15 33 22</v>
      </c>
      <c r="P35" s="2" t="str">
        <f ca="1">IFERROR(__xludf.DUMMYFUNCTION("""COMPUTED_VALUE"""),"713@edc.dk")</f>
        <v>713@edc.dk</v>
      </c>
      <c r="Q35" s="27" t="str">
        <f ca="1">IFERROR(__xludf.DUMMYFUNCTION("""COMPUTED_VALUE"""),"https://www.boliga.dk/maegler/717")</f>
        <v>https://www.boliga.dk/maegler/717</v>
      </c>
      <c r="R35" s="2" t="str">
        <f ca="1">IFERROR(__xludf.DUMMYFUNCTION("""COMPUTED_VALUE"""),"7441, 7430, 7442")</f>
        <v>7441, 7430, 7442</v>
      </c>
      <c r="S35" s="29">
        <f ca="1">IFERROR(__xludf.DUMMYFUNCTION("""COMPUTED_VALUE"""),44335)</f>
        <v>44335</v>
      </c>
      <c r="T35" s="2" t="str">
        <f ca="1">IFERROR(__xludf.DUMMYFUNCTION("""COMPUTED_VALUE"""),"-")</f>
        <v>-</v>
      </c>
      <c r="U35" s="2">
        <f ca="1">IFERROR(__xludf.DUMMYFUNCTION("""COMPUTED_VALUE"""),96)</f>
        <v>96</v>
      </c>
      <c r="V35" s="2" t="str">
        <f ca="1">IFERROR(__xludf.DUMMYFUNCTION("""COMPUTED_VALUE"""),"7441, 7330, 7400, 7430, 7442")</f>
        <v>7441, 7330, 7400, 7430, 7442</v>
      </c>
      <c r="W35" s="2">
        <f ca="1">IFERROR(__xludf.DUMMYFUNCTION("""COMPUTED_VALUE"""),56)</f>
        <v>56</v>
      </c>
      <c r="X35" s="2" t="str">
        <f ca="1">IFERROR(__xludf.DUMMYFUNCTION("""COMPUTED_VALUE"""),"7430, 7361, 7441, 7400, 7442")</f>
        <v>7430, 7361, 7441, 7400, 7442</v>
      </c>
      <c r="Y35" s="2" t="str">
        <f ca="1">IFERROR(__xludf.DUMMYFUNCTION("""COMPUTED_VALUE"""),"ja")</f>
        <v>ja</v>
      </c>
      <c r="Z35" s="2" t="str">
        <f ca="1">IFERROR(__xludf.DUMMYFUNCTION("""COMPUTED_VALUE"""),"Nicolai skal lige have det clearet med de andre")</f>
        <v>Nicolai skal lige have det clearet med de andre</v>
      </c>
      <c r="AA35" s="25"/>
      <c r="AB35" s="2" t="str">
        <f ca="1">IFERROR(__xludf.DUMMYFUNCTION("""COMPUTED_VALUE"""),"x")</f>
        <v>x</v>
      </c>
      <c r="AC35" s="2" t="str">
        <f ca="1">IFERROR(__xludf.DUMMYFUNCTION("""COMPUTED_VALUE"""),"x")</f>
        <v>x</v>
      </c>
      <c r="AD35" s="2" t="str">
        <f ca="1">IFERROR(__xludf.DUMMYFUNCTION("""COMPUTED_VALUE"""),"nej")</f>
        <v>nej</v>
      </c>
      <c r="AE35" s="2" t="str">
        <f ca="1">IFERROR(__xludf.DUMMYFUNCTION("""COMPUTED_VALUE"""),"valgte pludseligt at trække sig, men er ikke afvisende for at starte igen på et senere tidspunkt")</f>
        <v>valgte pludseligt at trække sig, men er ikke afvisende for at starte igen på et senere tidspunkt</v>
      </c>
    </row>
    <row r="36" spans="1:31" ht="12.45">
      <c r="A36" s="2" t="str">
        <f ca="1">IFERROR(__xludf.DUMMYFUNCTION("""COMPUTED_VALUE"""),"Christian")</f>
        <v>Christian</v>
      </c>
      <c r="B36" s="2" t="str">
        <f ca="1">IFERROR(__xludf.DUMMYFUNCTION("""COMPUTED_VALUE"""),"Estate Allebo Lystrup - Skødstrup")</f>
        <v>Estate Allebo Lystrup - Skødstrup</v>
      </c>
      <c r="C36" s="26">
        <f ca="1">IFERROR(__xludf.DUMMYFUNCTION("""COMPUTED_VALUE"""),32664725)</f>
        <v>32664725</v>
      </c>
      <c r="D36" s="26" t="str">
        <f ca="1">IFERROR(__xludf.DUMMYFUNCTION("""COMPUTED_VALUE"""),"MG-PM-JY: 1.949,-")</f>
        <v>MG-PM-JY: 1.949,-</v>
      </c>
      <c r="E36" s="26">
        <f ca="1">IFERROR(__xludf.DUMMYFUNCTION("""COMPUTED_VALUE"""),1203)</f>
        <v>1203</v>
      </c>
      <c r="F36" s="26" t="str">
        <f ca="1">IFERROR(__xludf.DUMMYFUNCTION("""COMPUTED_VALUE"""),"Thomas Hansen")</f>
        <v>Thomas Hansen</v>
      </c>
      <c r="G36" s="2" t="str">
        <f ca="1">IFERROR(__xludf.DUMMYFUNCTION("""COMPUTED_VALUE"""),"tha@estate.dk")</f>
        <v>tha@estate.dk</v>
      </c>
      <c r="H36" s="2"/>
      <c r="I36" s="2" t="str">
        <f ca="1">IFERROR(__xludf.DUMMYFUNCTION("""COMPUTED_VALUE"""),"Bystævnet 3")</f>
        <v>Bystævnet 3</v>
      </c>
      <c r="J36" s="2">
        <f ca="1">IFERROR(__xludf.DUMMYFUNCTION("""COMPUTED_VALUE"""),8520)</f>
        <v>8520</v>
      </c>
      <c r="K36" s="2" t="str">
        <f ca="1">IFERROR(__xludf.DUMMYFUNCTION("""COMPUTED_VALUE"""),"Lystrup")</f>
        <v>Lystrup</v>
      </c>
      <c r="L36" s="2" t="str">
        <f ca="1">IFERROR(__xludf.DUMMYFUNCTION("""COMPUTED_VALUE"""),"Aarhus")</f>
        <v>Aarhus</v>
      </c>
      <c r="M36" s="2" t="str">
        <f ca="1">IFERROR(__xludf.DUMMYFUNCTION("""COMPUTED_VALUE"""),"Østjylland")</f>
        <v>Østjylland</v>
      </c>
      <c r="N36" s="2" t="str">
        <f ca="1">IFERROR(__xludf.DUMMYFUNCTION("""COMPUTED_VALUE"""),"Midtjylland")</f>
        <v>Midtjylland</v>
      </c>
      <c r="O36" s="2">
        <f ca="1">IFERROR(__xludf.DUMMYFUNCTION("""COMPUTED_VALUE"""),86102828)</f>
        <v>86102828</v>
      </c>
      <c r="P36" s="2" t="str">
        <f ca="1">IFERROR(__xludf.DUMMYFUNCTION("""COMPUTED_VALUE"""),"8520@estate.dk")</f>
        <v>8520@estate.dk</v>
      </c>
      <c r="Q36" s="27" t="str">
        <f ca="1">IFERROR(__xludf.DUMMYFUNCTION("""COMPUTED_VALUE"""),"https://www.boliga.dk/maegler/25115")</f>
        <v>https://www.boliga.dk/maegler/25115</v>
      </c>
      <c r="R36" s="2" t="str">
        <f ca="1">IFERROR(__xludf.DUMMYFUNCTION("""COMPUTED_VALUE"""),"8520, 8541, 8530, 8380")</f>
        <v>8520, 8541, 8530, 8380</v>
      </c>
      <c r="S36" s="29">
        <f ca="1">IFERROR(__xludf.DUMMYFUNCTION("""COMPUTED_VALUE"""),44476)</f>
        <v>44476</v>
      </c>
      <c r="T36" s="2" t="str">
        <f ca="1">IFERROR(__xludf.DUMMYFUNCTION("""COMPUTED_VALUE"""),"-")</f>
        <v>-</v>
      </c>
      <c r="U36" s="2">
        <f ca="1">IFERROR(__xludf.DUMMYFUNCTION("""COMPUTED_VALUE"""),24)</f>
        <v>24</v>
      </c>
      <c r="V36" s="2" t="str">
        <f ca="1">IFERROR(__xludf.DUMMYFUNCTION("""COMPUTED_VALUE"""),"8240, 8200, 8541, 8530, 8520")</f>
        <v>8240, 8200, 8541, 8530, 8520</v>
      </c>
      <c r="W36" s="2">
        <f ca="1">IFERROR(__xludf.DUMMYFUNCTION("""COMPUTED_VALUE"""),30)</f>
        <v>30</v>
      </c>
      <c r="X36" s="2" t="str">
        <f ca="1">IFERROR(__xludf.DUMMYFUNCTION("""COMPUTED_VALUE"""),"8541, 8530, 8240, 8520, 8250")</f>
        <v>8541, 8530, 8240, 8520, 8250</v>
      </c>
      <c r="Y36" s="2" t="str">
        <f ca="1">IFERROR(__xludf.DUMMYFUNCTION("""COMPUTED_VALUE"""),"ja")</f>
        <v>ja</v>
      </c>
      <c r="Z36" s="2" t="str">
        <f ca="1">IFERROR(__xludf.DUMMYFUNCTION("""COMPUTED_VALUE"""),"er på ferie i denne uge ring igen næste")</f>
        <v>er på ferie i denne uge ring igen næste</v>
      </c>
      <c r="AA36" s="25"/>
      <c r="AB36" s="2" t="str">
        <f ca="1">IFERROR(__xludf.DUMMYFUNCTION("""COMPUTED_VALUE"""),"x")</f>
        <v>x</v>
      </c>
      <c r="AC36" s="2" t="str">
        <f ca="1">IFERROR(__xludf.DUMMYFUNCTION("""COMPUTED_VALUE"""),"x")</f>
        <v>x</v>
      </c>
      <c r="AD36" s="2" t="str">
        <f ca="1">IFERROR(__xludf.DUMMYFUNCTION("""COMPUTED_VALUE"""),"ja")</f>
        <v>ja</v>
      </c>
      <c r="AE36" s="2"/>
    </row>
    <row r="37" spans="1:31" ht="24.9">
      <c r="A37" s="2" t="str">
        <f ca="1">IFERROR(__xludf.DUMMYFUNCTION("""COMPUTED_VALUE"""),"Christian")</f>
        <v>Christian</v>
      </c>
      <c r="B37" s="2" t="str">
        <f ca="1">IFERROR(__xludf.DUMMYFUNCTION("""COMPUTED_VALUE"""),"home Korsør")</f>
        <v>home Korsør</v>
      </c>
      <c r="C37" s="26">
        <f ca="1">IFERROR(__xludf.DUMMYFUNCTION("""COMPUTED_VALUE"""),35365478)</f>
        <v>35365478</v>
      </c>
      <c r="D37" s="26" t="str">
        <f ca="1">IFERROR(__xludf.DUMMYFUNCTION("""COMPUTED_VALUE"""),"MG-PM-SJ: 2.600,-")</f>
        <v>MG-PM-SJ: 2.600,-</v>
      </c>
      <c r="E37" s="26">
        <f ca="1">IFERROR(__xludf.DUMMYFUNCTION("""COMPUTED_VALUE"""),1204)</f>
        <v>1204</v>
      </c>
      <c r="F37" s="26" t="str">
        <f ca="1">IFERROR(__xludf.DUMMYFUNCTION("""COMPUTED_VALUE"""),"Mikkel Olsen Partner, Ejendomsmægler, Salgschef, VU for RD")</f>
        <v>Mikkel Olsen Partner, Ejendomsmægler, Salgschef, VU for RD</v>
      </c>
      <c r="G37" s="2" t="str">
        <f ca="1">IFERROR(__xludf.DUMMYFUNCTION("""COMPUTED_VALUE"""),"mikol@home.dk")</f>
        <v>mikol@home.dk</v>
      </c>
      <c r="H37" s="2"/>
      <c r="I37" s="2" t="str">
        <f ca="1">IFERROR(__xludf.DUMMYFUNCTION("""COMPUTED_VALUE"""),"Caspar Brands Plads 9")</f>
        <v>Caspar Brands Plads 9</v>
      </c>
      <c r="J37" s="2">
        <f ca="1">IFERROR(__xludf.DUMMYFUNCTION("""COMPUTED_VALUE"""),4220)</f>
        <v>4220</v>
      </c>
      <c r="K37" s="2" t="str">
        <f ca="1">IFERROR(__xludf.DUMMYFUNCTION("""COMPUTED_VALUE"""),"Korsør")</f>
        <v>Korsør</v>
      </c>
      <c r="L37" s="2" t="str">
        <f ca="1">IFERROR(__xludf.DUMMYFUNCTION("""COMPUTED_VALUE"""),"Slagelse")</f>
        <v>Slagelse</v>
      </c>
      <c r="M37" s="2" t="str">
        <f ca="1">IFERROR(__xludf.DUMMYFUNCTION("""COMPUTED_VALUE"""),"Vest- og Sydsjælland")</f>
        <v>Vest- og Sydsjælland</v>
      </c>
      <c r="N37" s="30" t="str">
        <f ca="1">IFERROR(__xludf.DUMMYFUNCTION("""COMPUTED_VALUE"""),"Sjælland")</f>
        <v>Sjælland</v>
      </c>
      <c r="O37" s="2" t="str">
        <f ca="1">IFERROR(__xludf.DUMMYFUNCTION("""COMPUTED_VALUE"""),"58 36 00 20")</f>
        <v>58 36 00 20</v>
      </c>
      <c r="P37" s="2" t="str">
        <f ca="1">IFERROR(__xludf.DUMMYFUNCTION("""COMPUTED_VALUE"""),"209@home.dk")</f>
        <v>209@home.dk</v>
      </c>
      <c r="Q37" s="27" t="str">
        <f ca="1">IFERROR(__xludf.DUMMYFUNCTION("""COMPUTED_VALUE"""),"https://www.boliga.dk/maegler/88")</f>
        <v>https://www.boliga.dk/maegler/88</v>
      </c>
      <c r="R37" s="2" t="str">
        <f ca="1">IFERROR(__xludf.DUMMYFUNCTION("""COMPUTED_VALUE"""),"4220, 4241")</f>
        <v>4220, 4241</v>
      </c>
      <c r="S37" s="29">
        <f ca="1">IFERROR(__xludf.DUMMYFUNCTION("""COMPUTED_VALUE"""),44484)</f>
        <v>44484</v>
      </c>
      <c r="T37" s="2" t="str">
        <f ca="1">IFERROR(__xludf.DUMMYFUNCTION("""COMPUTED_VALUE"""),"-")</f>
        <v>-</v>
      </c>
      <c r="U37" s="2">
        <f ca="1">IFERROR(__xludf.DUMMYFUNCTION("""COMPUTED_VALUE"""),39)</f>
        <v>39</v>
      </c>
      <c r="V37" s="2" t="str">
        <f ca="1">IFERROR(__xludf.DUMMYFUNCTION("""COMPUTED_VALUE"""),"4220, 4241")</f>
        <v>4220, 4241</v>
      </c>
      <c r="W37" s="2">
        <f ca="1">IFERROR(__xludf.DUMMYFUNCTION("""COMPUTED_VALUE"""),25)</f>
        <v>25</v>
      </c>
      <c r="X37" s="2" t="str">
        <f ca="1">IFERROR(__xludf.DUMMYFUNCTION("""COMPUTED_VALUE"""),"4220, 4200, 4261")</f>
        <v>4220, 4200, 4261</v>
      </c>
      <c r="Y37" s="2" t="str">
        <f ca="1">IFERROR(__xludf.DUMMYFUNCTION("""COMPUTED_VALUE"""),"ja")</f>
        <v>ja</v>
      </c>
      <c r="Z37" s="2"/>
      <c r="AA37" s="25"/>
      <c r="AB37" s="2" t="str">
        <f ca="1">IFERROR(__xludf.DUMMYFUNCTION("""COMPUTED_VALUE"""),"x")</f>
        <v>x</v>
      </c>
      <c r="AC37" s="2" t="str">
        <f ca="1">IFERROR(__xludf.DUMMYFUNCTION("""COMPUTED_VALUE"""),"x")</f>
        <v>x</v>
      </c>
      <c r="AD37" s="2" t="str">
        <f ca="1">IFERROR(__xludf.DUMMYFUNCTION("""COMPUTED_VALUE"""),"ja")</f>
        <v>ja</v>
      </c>
      <c r="AE37" s="2"/>
    </row>
    <row r="38" spans="1:31" ht="12.45">
      <c r="A38" s="2" t="str">
        <f ca="1">IFERROR(__xludf.DUMMYFUNCTION("""COMPUTED_VALUE"""),"Christian")</f>
        <v>Christian</v>
      </c>
      <c r="B38" s="2" t="str">
        <f ca="1">IFERROR(__xludf.DUMMYFUNCTION("""COMPUTED_VALUE"""),"Realmæglerne Vesterbro")</f>
        <v>Realmæglerne Vesterbro</v>
      </c>
      <c r="C38" s="26">
        <f ca="1">IFERROR(__xludf.DUMMYFUNCTION("""COMPUTED_VALUE"""),39122006)</f>
        <v>39122006</v>
      </c>
      <c r="D38" s="26" t="str">
        <f ca="1">IFERROR(__xludf.DUMMYFUNCTION("""COMPUTED_VALUE"""),"MG-PM-SJ: 2.600,-")</f>
        <v>MG-PM-SJ: 2.600,-</v>
      </c>
      <c r="E38" s="26">
        <f ca="1">IFERROR(__xludf.DUMMYFUNCTION("""COMPUTED_VALUE"""),1204)</f>
        <v>1204</v>
      </c>
      <c r="F38" s="26" t="str">
        <f ca="1">IFERROR(__xludf.DUMMYFUNCTION("""COMPUTED_VALUE"""),"Lasse Lemche")</f>
        <v>Lasse Lemche</v>
      </c>
      <c r="G38" s="2" t="str">
        <f ca="1">IFERROR(__xludf.DUMMYFUNCTION("""COMPUTED_VALUE"""),"lcl@mailreal.dk")</f>
        <v>lcl@mailreal.dk</v>
      </c>
      <c r="H38" s="2"/>
      <c r="I38" s="2" t="str">
        <f ca="1">IFERROR(__xludf.DUMMYFUNCTION("""COMPUTED_VALUE"""),"Istedgade 87")</f>
        <v>Istedgade 87</v>
      </c>
      <c r="J38" s="2">
        <f ca="1">IFERROR(__xludf.DUMMYFUNCTION("""COMPUTED_VALUE"""),1650)</f>
        <v>1650</v>
      </c>
      <c r="K38" s="2" t="str">
        <f ca="1">IFERROR(__xludf.DUMMYFUNCTION("""COMPUTED_VALUE"""),"København V")</f>
        <v>København V</v>
      </c>
      <c r="L38" s="2" t="str">
        <f ca="1">IFERROR(__xludf.DUMMYFUNCTION("""COMPUTED_VALUE"""),"København")</f>
        <v>København</v>
      </c>
      <c r="M38" s="2" t="str">
        <f ca="1">IFERROR(__xludf.DUMMYFUNCTION("""COMPUTED_VALUE"""),"København By")</f>
        <v>København By</v>
      </c>
      <c r="N38" s="2" t="str">
        <f ca="1">IFERROR(__xludf.DUMMYFUNCTION("""COMPUTED_VALUE"""),"Hovedstaden")</f>
        <v>Hovedstaden</v>
      </c>
      <c r="O38" s="2">
        <f ca="1">IFERROR(__xludf.DUMMYFUNCTION("""COMPUTED_VALUE"""),72312200)</f>
        <v>72312200</v>
      </c>
      <c r="P38" s="2" t="str">
        <f ca="1">IFERROR(__xludf.DUMMYFUNCTION("""COMPUTED_VALUE"""),"vesterbro@mailreal.dk")</f>
        <v>vesterbro@mailreal.dk</v>
      </c>
      <c r="Q38" s="27" t="str">
        <f ca="1">IFERROR(__xludf.DUMMYFUNCTION("""COMPUTED_VALUE"""),"https://www.boliga.dk/maegler/17480")</f>
        <v>https://www.boliga.dk/maegler/17480</v>
      </c>
      <c r="R38" s="2" t="str">
        <f ca="1">IFERROR(__xludf.DUMMYFUNCTION("""COMPUTED_VALUE"""),"-")</f>
        <v>-</v>
      </c>
      <c r="S38" s="2" t="str">
        <f ca="1">IFERROR(__xludf.DUMMYFUNCTION("""COMPUTED_VALUE"""),"-")</f>
        <v>-</v>
      </c>
      <c r="T38" s="2" t="str">
        <f ca="1">IFERROR(__xludf.DUMMYFUNCTION("""COMPUTED_VALUE"""),"-")</f>
        <v>-</v>
      </c>
      <c r="U38" s="2">
        <f ca="1">IFERROR(__xludf.DUMMYFUNCTION("""COMPUTED_VALUE"""),12)</f>
        <v>12</v>
      </c>
      <c r="V38" s="2" t="str">
        <f ca="1">IFERROR(__xludf.DUMMYFUNCTION("""COMPUTED_VALUE"""),"1661, 1720, 1606, 1669, 1753, 1770, 1617, 1799, 1775, 1777")</f>
        <v>1661, 1720, 1606, 1669, 1753, 1770, 1617, 1799, 1775, 1777</v>
      </c>
      <c r="W38" s="2">
        <f ca="1">IFERROR(__xludf.DUMMYFUNCTION("""COMPUTED_VALUE"""),10)</f>
        <v>10</v>
      </c>
      <c r="X38" s="2" t="str">
        <f ca="1">IFERROR(__xludf.DUMMYFUNCTION("""COMPUTED_VALUE"""),"1614, 1668, 1705, 1661, 1667, 1702, 2700, 1666, 1720, 1777")</f>
        <v>1614, 1668, 1705, 1661, 1667, 1702, 2700, 1666, 1720, 1777</v>
      </c>
      <c r="Y38" s="2" t="str">
        <f ca="1">IFERROR(__xludf.DUMMYFUNCTION("""COMPUTED_VALUE"""),"ja")</f>
        <v>ja</v>
      </c>
      <c r="Z38" s="2"/>
      <c r="AA38" s="25"/>
      <c r="AB38" s="2" t="str">
        <f ca="1">IFERROR(__xludf.DUMMYFUNCTION("""COMPUTED_VALUE"""),"x")</f>
        <v>x</v>
      </c>
      <c r="AC38" s="2" t="str">
        <f ca="1">IFERROR(__xludf.DUMMYFUNCTION("""COMPUTED_VALUE"""),"x")</f>
        <v>x</v>
      </c>
      <c r="AD38" s="2"/>
      <c r="AE38" s="2"/>
    </row>
    <row r="39" spans="1:31" ht="12.45">
      <c r="A39" s="2" t="str">
        <f ca="1">IFERROR(__xludf.DUMMYFUNCTION("""COMPUTED_VALUE"""),"Christian")</f>
        <v>Christian</v>
      </c>
      <c r="B39" s="2" t="str">
        <f ca="1">IFERROR(__xludf.DUMMYFUNCTION("""COMPUTED_VALUE"""),"RealMæglerne Østerbro")</f>
        <v>RealMæglerne Østerbro</v>
      </c>
      <c r="C39" s="26">
        <f ca="1">IFERROR(__xludf.DUMMYFUNCTION("""COMPUTED_VALUE"""),39122006)</f>
        <v>39122006</v>
      </c>
      <c r="D39" s="26" t="str">
        <f ca="1">IFERROR(__xludf.DUMMYFUNCTION("""COMPUTED_VALUE"""),"MG-PM-SJ: 2.600,-")</f>
        <v>MG-PM-SJ: 2.600,-</v>
      </c>
      <c r="E39" s="26">
        <f ca="1">IFERROR(__xludf.DUMMYFUNCTION("""COMPUTED_VALUE"""),1204)</f>
        <v>1204</v>
      </c>
      <c r="F39" s="26" t="str">
        <f ca="1">IFERROR(__xludf.DUMMYFUNCTION("""COMPUTED_VALUE"""),"Lasse Lemche")</f>
        <v>Lasse Lemche</v>
      </c>
      <c r="G39" s="2" t="str">
        <f ca="1">IFERROR(__xludf.DUMMYFUNCTION("""COMPUTED_VALUE"""),"lcl@mailreal.dk")</f>
        <v>lcl@mailreal.dk</v>
      </c>
      <c r="H39" s="2"/>
      <c r="I39" s="2" t="str">
        <f ca="1">IFERROR(__xludf.DUMMYFUNCTION("""COMPUTED_VALUE"""),"Nordre Frihavnsgade 77")</f>
        <v>Nordre Frihavnsgade 77</v>
      </c>
      <c r="J39" s="2">
        <f ca="1">IFERROR(__xludf.DUMMYFUNCTION("""COMPUTED_VALUE"""),2100)</f>
        <v>2100</v>
      </c>
      <c r="K39" s="2" t="str">
        <f ca="1">IFERROR(__xludf.DUMMYFUNCTION("""COMPUTED_VALUE"""),"København Ø")</f>
        <v>København Ø</v>
      </c>
      <c r="L39" s="2" t="str">
        <f ca="1">IFERROR(__xludf.DUMMYFUNCTION("""COMPUTED_VALUE"""),"København")</f>
        <v>København</v>
      </c>
      <c r="M39" s="2" t="str">
        <f ca="1">IFERROR(__xludf.DUMMYFUNCTION("""COMPUTED_VALUE"""),"København By")</f>
        <v>København By</v>
      </c>
      <c r="N39" s="2" t="str">
        <f ca="1">IFERROR(__xludf.DUMMYFUNCTION("""COMPUTED_VALUE"""),"Hovedstaden")</f>
        <v>Hovedstaden</v>
      </c>
      <c r="O39" s="2">
        <f ca="1">IFERROR(__xludf.DUMMYFUNCTION("""COMPUTED_VALUE"""),43582100)</f>
        <v>43582100</v>
      </c>
      <c r="P39" s="2" t="str">
        <f ca="1">IFERROR(__xludf.DUMMYFUNCTION("""COMPUTED_VALUE"""),"oesterbro@mailreal.dk")</f>
        <v>oesterbro@mailreal.dk</v>
      </c>
      <c r="Q39" s="27" t="str">
        <f ca="1">IFERROR(__xludf.DUMMYFUNCTION("""COMPUTED_VALUE"""),"https://www.boliga.dk/maegler/17767")</f>
        <v>https://www.boliga.dk/maegler/17767</v>
      </c>
      <c r="R39" s="2" t="str">
        <f ca="1">IFERROR(__xludf.DUMMYFUNCTION("""COMPUTED_VALUE"""),"-")</f>
        <v>-</v>
      </c>
      <c r="S39" s="2" t="str">
        <f ca="1">IFERROR(__xludf.DUMMYFUNCTION("""COMPUTED_VALUE"""),"-")</f>
        <v>-</v>
      </c>
      <c r="T39" s="2" t="str">
        <f ca="1">IFERROR(__xludf.DUMMYFUNCTION("""COMPUTED_VALUE"""),"-")</f>
        <v>-</v>
      </c>
      <c r="U39" s="2">
        <f ca="1">IFERROR(__xludf.DUMMYFUNCTION("""COMPUTED_VALUE"""),4)</f>
        <v>4</v>
      </c>
      <c r="V39" s="2">
        <f ca="1">IFERROR(__xludf.DUMMYFUNCTION("""COMPUTED_VALUE"""),2100)</f>
        <v>2100</v>
      </c>
      <c r="W39" s="2">
        <f ca="1">IFERROR(__xludf.DUMMYFUNCTION("""COMPUTED_VALUE"""),24)</f>
        <v>24</v>
      </c>
      <c r="X39" s="2" t="str">
        <f ca="1">IFERROR(__xludf.DUMMYFUNCTION("""COMPUTED_VALUE"""),"2500, 2100, 2200, 2400")</f>
        <v>2500, 2100, 2200, 2400</v>
      </c>
      <c r="Y39" s="2" t="str">
        <f ca="1">IFERROR(__xludf.DUMMYFUNCTION("""COMPUTED_VALUE"""),"ja")</f>
        <v>ja</v>
      </c>
      <c r="Z39" s="2"/>
      <c r="AA39" s="25"/>
      <c r="AB39" s="2" t="str">
        <f ca="1">IFERROR(__xludf.DUMMYFUNCTION("""COMPUTED_VALUE"""),"x")</f>
        <v>x</v>
      </c>
      <c r="AC39" s="2" t="str">
        <f ca="1">IFERROR(__xludf.DUMMYFUNCTION("""COMPUTED_VALUE"""),"x")</f>
        <v>x</v>
      </c>
      <c r="AD39" s="2"/>
      <c r="AE39" s="2"/>
    </row>
    <row r="40" spans="1:31" ht="12.45">
      <c r="A40" s="2" t="str">
        <f ca="1">IFERROR(__xludf.DUMMYFUNCTION("""COMPUTED_VALUE"""),"Christian")</f>
        <v>Christian</v>
      </c>
      <c r="B40" s="2" t="str">
        <f ca="1">IFERROR(__xludf.DUMMYFUNCTION("""COMPUTED_VALUE"""),"RealMæglerne Nordhavn ApS")</f>
        <v>RealMæglerne Nordhavn ApS</v>
      </c>
      <c r="C40" s="26">
        <f ca="1">IFERROR(__xludf.DUMMYFUNCTION("""COMPUTED_VALUE"""),39122006)</f>
        <v>39122006</v>
      </c>
      <c r="D40" s="26" t="str">
        <f ca="1">IFERROR(__xludf.DUMMYFUNCTION("""COMPUTED_VALUE"""),"MG-PM-SJ: 2.600,-")</f>
        <v>MG-PM-SJ: 2.600,-</v>
      </c>
      <c r="E40" s="26">
        <f ca="1">IFERROR(__xludf.DUMMYFUNCTION("""COMPUTED_VALUE"""),1204)</f>
        <v>1204</v>
      </c>
      <c r="F40" s="26" t="str">
        <f ca="1">IFERROR(__xludf.DUMMYFUNCTION("""COMPUTED_VALUE"""),"Lasse Lemche")</f>
        <v>Lasse Lemche</v>
      </c>
      <c r="G40" s="2" t="str">
        <f ca="1">IFERROR(__xludf.DUMMYFUNCTION("""COMPUTED_VALUE"""),"lcl@mailreal.dk")</f>
        <v>lcl@mailreal.dk</v>
      </c>
      <c r="H40" s="2"/>
      <c r="I40" s="2" t="str">
        <f ca="1">IFERROR(__xludf.DUMMYFUNCTION("""COMPUTED_VALUE"""),"Corkgade 4")</f>
        <v>Corkgade 4</v>
      </c>
      <c r="J40" s="2">
        <f ca="1">IFERROR(__xludf.DUMMYFUNCTION("""COMPUTED_VALUE"""),2150)</f>
        <v>2150</v>
      </c>
      <c r="K40" s="2" t="str">
        <f ca="1">IFERROR(__xludf.DUMMYFUNCTION("""COMPUTED_VALUE"""),"Nordhavn")</f>
        <v>Nordhavn</v>
      </c>
      <c r="L40" s="2" t="str">
        <f ca="1">IFERROR(__xludf.DUMMYFUNCTION("""COMPUTED_VALUE"""),"København")</f>
        <v>København</v>
      </c>
      <c r="M40" s="2" t="str">
        <f ca="1">IFERROR(__xludf.DUMMYFUNCTION("""COMPUTED_VALUE"""),"København By")</f>
        <v>København By</v>
      </c>
      <c r="N40" s="2" t="str">
        <f ca="1">IFERROR(__xludf.DUMMYFUNCTION("""COMPUTED_VALUE"""),"Hovedstaden")</f>
        <v>Hovedstaden</v>
      </c>
      <c r="O40" s="2">
        <f ca="1">IFERROR(__xludf.DUMMYFUNCTION("""COMPUTED_VALUE"""),43582100)</f>
        <v>43582100</v>
      </c>
      <c r="P40" s="2" t="str">
        <f ca="1">IFERROR(__xludf.DUMMYFUNCTION("""COMPUTED_VALUE"""),"nordhavn@mailreal.dk")</f>
        <v>nordhavn@mailreal.dk</v>
      </c>
      <c r="Q40" s="27" t="str">
        <f ca="1">IFERROR(__xludf.DUMMYFUNCTION("""COMPUTED_VALUE"""),"https://www.boliga.dk/maegler/24227")</f>
        <v>https://www.boliga.dk/maegler/24227</v>
      </c>
      <c r="R40" s="2" t="str">
        <f ca="1">IFERROR(__xludf.DUMMYFUNCTION("""COMPUTED_VALUE"""),"-")</f>
        <v>-</v>
      </c>
      <c r="S40" s="2" t="str">
        <f ca="1">IFERROR(__xludf.DUMMYFUNCTION("""COMPUTED_VALUE"""),"-")</f>
        <v>-</v>
      </c>
      <c r="T40" s="2" t="str">
        <f ca="1">IFERROR(__xludf.DUMMYFUNCTION("""COMPUTED_VALUE"""),"-")</f>
        <v>-</v>
      </c>
      <c r="U40" s="2">
        <f ca="1">IFERROR(__xludf.DUMMYFUNCTION("""COMPUTED_VALUE"""),28)</f>
        <v>28</v>
      </c>
      <c r="V40" s="2" t="str">
        <f ca="1">IFERROR(__xludf.DUMMYFUNCTION("""COMPUTED_VALUE"""),"1432, 2450, 1436, 3250, 2150, 2500, 2300, 2770, 2650")</f>
        <v>1432, 2450, 1436, 3250, 2150, 2500, 2300, 2770, 2650</v>
      </c>
      <c r="W40" s="2">
        <f ca="1">IFERROR(__xludf.DUMMYFUNCTION("""COMPUTED_VALUE"""),10)</f>
        <v>10</v>
      </c>
      <c r="X40" s="2" t="str">
        <f ca="1">IFERROR(__xludf.DUMMYFUNCTION("""COMPUTED_VALUE"""),"2450, 2300, 2150, 2770")</f>
        <v>2450, 2300, 2150, 2770</v>
      </c>
      <c r="Y40" s="2" t="str">
        <f ca="1">IFERROR(__xludf.DUMMYFUNCTION("""COMPUTED_VALUE"""),"ja")</f>
        <v>ja</v>
      </c>
      <c r="Z40" s="2"/>
      <c r="AA40" s="25"/>
      <c r="AB40" s="2" t="str">
        <f ca="1">IFERROR(__xludf.DUMMYFUNCTION("""COMPUTED_VALUE"""),"x")</f>
        <v>x</v>
      </c>
      <c r="AC40" s="2" t="str">
        <f ca="1">IFERROR(__xludf.DUMMYFUNCTION("""COMPUTED_VALUE"""),"x")</f>
        <v>x</v>
      </c>
      <c r="AD40" s="2" t="str">
        <f ca="1">IFERROR(__xludf.DUMMYFUNCTION("""COMPUTED_VALUE"""),"ja")</f>
        <v>ja</v>
      </c>
      <c r="AE40" s="2" t="str">
        <f ca="1">IFERROR(__xludf.DUMMYFUNCTION("""COMPUTED_VALUE"""),"har fået bekræftelse")</f>
        <v>har fået bekræftelse</v>
      </c>
    </row>
    <row r="41" spans="1:31" ht="12.45">
      <c r="A41" s="2" t="str">
        <f ca="1">IFERROR(__xludf.DUMMYFUNCTION("""COMPUTED_VALUE"""),"Christian")</f>
        <v>Christian</v>
      </c>
      <c r="B41" s="2" t="str">
        <f ca="1">IFERROR(__xludf.DUMMYFUNCTION("""COMPUTED_VALUE"""),"danbolig Hobro - Mariager")</f>
        <v>danbolig Hobro - Mariager</v>
      </c>
      <c r="C41" s="26">
        <f ca="1">IFERROR(__xludf.DUMMYFUNCTION("""COMPUTED_VALUE"""),41276886)</f>
        <v>41276886</v>
      </c>
      <c r="D41" s="26" t="str">
        <f ca="1">IFERROR(__xludf.DUMMYFUNCTION("""COMPUTED_VALUE"""),"MG-PM-JY: 1.949,-")</f>
        <v>MG-PM-JY: 1.949,-</v>
      </c>
      <c r="E41" s="26">
        <f ca="1">IFERROR(__xludf.DUMMYFUNCTION("""COMPUTED_VALUE"""),1203)</f>
        <v>1203</v>
      </c>
      <c r="F41" s="26" t="str">
        <f ca="1">IFERROR(__xludf.DUMMYFUNCTION("""COMPUTED_VALUE"""),"Anders Svenningsen")</f>
        <v>Anders Svenningsen</v>
      </c>
      <c r="G41" s="2" t="str">
        <f ca="1">IFERROR(__xludf.DUMMYFUNCTION("""COMPUTED_VALUE"""),"anders.svenningsen@danbolig.dk")</f>
        <v>anders.svenningsen@danbolig.dk</v>
      </c>
      <c r="H41" s="2"/>
      <c r="I41" s="2" t="str">
        <f ca="1">IFERROR(__xludf.DUMMYFUNCTION("""COMPUTED_VALUE"""),"Randersvej 61A")</f>
        <v>Randersvej 61A</v>
      </c>
      <c r="J41" s="2">
        <f ca="1">IFERROR(__xludf.DUMMYFUNCTION("""COMPUTED_VALUE"""),9500)</f>
        <v>9500</v>
      </c>
      <c r="K41" s="2" t="str">
        <f ca="1">IFERROR(__xludf.DUMMYFUNCTION("""COMPUTED_VALUE"""),"Hobro")</f>
        <v>Hobro</v>
      </c>
      <c r="L41" s="2" t="str">
        <f ca="1">IFERROR(__xludf.DUMMYFUNCTION("""COMPUTED_VALUE"""),"Mariagerfjord")</f>
        <v>Mariagerfjord</v>
      </c>
      <c r="M41" s="2" t="str">
        <f ca="1">IFERROR(__xludf.DUMMYFUNCTION("""COMPUTED_VALUE"""),"Nordjylland")</f>
        <v>Nordjylland</v>
      </c>
      <c r="N41" s="2" t="str">
        <f ca="1">IFERROR(__xludf.DUMMYFUNCTION("""COMPUTED_VALUE"""),"Nordjylland")</f>
        <v>Nordjylland</v>
      </c>
      <c r="O41" s="2">
        <f ca="1">IFERROR(__xludf.DUMMYFUNCTION("""COMPUTED_VALUE"""),98522010)</f>
        <v>98522010</v>
      </c>
      <c r="P41" s="2" t="str">
        <f ca="1">IFERROR(__xludf.DUMMYFUNCTION("""COMPUTED_VALUE"""),"hobro@danbolig.dk")</f>
        <v>hobro@danbolig.dk</v>
      </c>
      <c r="Q41" s="27" t="str">
        <f ca="1">IFERROR(__xludf.DUMMYFUNCTION("""COMPUTED_VALUE"""),"https://www.boliga.dk/maegler/27653")</f>
        <v>https://www.boliga.dk/maegler/27653</v>
      </c>
      <c r="R41" s="2" t="str">
        <f ca="1">IFERROR(__xludf.DUMMYFUNCTION("""COMPUTED_VALUE"""),"9500, 9550, 9560")</f>
        <v>9500, 9550, 9560</v>
      </c>
      <c r="S41" s="29">
        <f ca="1">IFERROR(__xludf.DUMMYFUNCTION("""COMPUTED_VALUE"""),44279)</f>
        <v>44279</v>
      </c>
      <c r="T41" s="2" t="str">
        <f ca="1">IFERROR(__xludf.DUMMYFUNCTION("""COMPUTED_VALUE"""),"-")</f>
        <v>-</v>
      </c>
      <c r="U41" s="2">
        <f ca="1">IFERROR(__xludf.DUMMYFUNCTION("""COMPUTED_VALUE"""),35)</f>
        <v>35</v>
      </c>
      <c r="V41" s="2" t="str">
        <f ca="1">IFERROR(__xludf.DUMMYFUNCTION("""COMPUTED_VALUE"""),"8990, 9500, 9550, 9560")</f>
        <v>8990, 9500, 9550, 9560</v>
      </c>
      <c r="W41" s="2">
        <f ca="1">IFERROR(__xludf.DUMMYFUNCTION("""COMPUTED_VALUE"""),23)</f>
        <v>23</v>
      </c>
      <c r="X41" s="2" t="str">
        <f ca="1">IFERROR(__xludf.DUMMYFUNCTION("""COMPUTED_VALUE"""),"9500, 9550, 9560")</f>
        <v>9500, 9550, 9560</v>
      </c>
      <c r="Y41" s="2" t="str">
        <f ca="1">IFERROR(__xludf.DUMMYFUNCTION("""COMPUTED_VALUE"""),"ja")</f>
        <v>ja</v>
      </c>
      <c r="Z41" s="2" t="str">
        <f ca="1">IFERROR(__xludf.DUMMYFUNCTION("""COMPUTED_VALUE"""),"skal lige vendes med Steffen men han er klar")</f>
        <v>skal lige vendes med Steffen men han er klar</v>
      </c>
      <c r="AA41" s="25"/>
      <c r="AB41" s="2" t="str">
        <f ca="1">IFERROR(__xludf.DUMMYFUNCTION("""COMPUTED_VALUE"""),"x")</f>
        <v>x</v>
      </c>
      <c r="AC41" s="2" t="str">
        <f ca="1">IFERROR(__xludf.DUMMYFUNCTION("""COMPUTED_VALUE"""),"x")</f>
        <v>x</v>
      </c>
      <c r="AD41" s="2" t="str">
        <f ca="1">IFERROR(__xludf.DUMMYFUNCTION("""COMPUTED_VALUE"""),"ja")</f>
        <v>ja</v>
      </c>
      <c r="AE41" s="2" t="str">
        <f ca="1">IFERROR(__xludf.DUMMYFUNCTION("""COMPUTED_VALUE"""),"de får god respons på det så han regner med gentegning - skal lige cleares med steffen")</f>
        <v>de får god respons på det så han regner med gentegning - skal lige cleares med steffen</v>
      </c>
    </row>
    <row r="42" spans="1:31" ht="12.45">
      <c r="C42" s="26"/>
      <c r="D42" s="26"/>
      <c r="E42" s="26"/>
      <c r="F42" s="26"/>
    </row>
    <row r="43" spans="1:31" ht="12.45">
      <c r="C43" s="26"/>
      <c r="D43" s="26"/>
      <c r="E43" s="26"/>
      <c r="F43" s="26"/>
    </row>
    <row r="44" spans="1:31" ht="12.45">
      <c r="C44" s="26"/>
      <c r="D44" s="26"/>
      <c r="E44" s="26"/>
      <c r="F44" s="26"/>
    </row>
    <row r="45" spans="1:31" ht="12.45">
      <c r="C45" s="26"/>
      <c r="D45" s="26"/>
      <c r="E45" s="26"/>
      <c r="F45" s="26"/>
    </row>
    <row r="46" spans="1:31" ht="12.45">
      <c r="C46" s="26"/>
      <c r="D46" s="26"/>
      <c r="E46" s="26"/>
      <c r="F46" s="26"/>
    </row>
    <row r="47" spans="1:31" ht="12.45">
      <c r="C47" s="26"/>
      <c r="D47" s="26"/>
      <c r="E47" s="26"/>
      <c r="F47" s="26"/>
    </row>
    <row r="48" spans="1:31" ht="12.45">
      <c r="C48" s="26"/>
      <c r="D48" s="26"/>
      <c r="E48" s="26"/>
      <c r="F48" s="26"/>
    </row>
    <row r="49" spans="3:6" ht="12.45">
      <c r="C49" s="26"/>
      <c r="D49" s="26"/>
      <c r="E49" s="26"/>
      <c r="F49" s="26"/>
    </row>
    <row r="50" spans="3:6" ht="12.45">
      <c r="C50" s="26"/>
      <c r="D50" s="26"/>
      <c r="E50" s="26"/>
      <c r="F50" s="26"/>
    </row>
    <row r="51" spans="3:6" ht="12.45">
      <c r="C51" s="26"/>
      <c r="D51" s="26"/>
      <c r="E51" s="26"/>
      <c r="F51" s="26"/>
    </row>
    <row r="52" spans="3:6" ht="12.45">
      <c r="C52" s="26"/>
      <c r="D52" s="26"/>
      <c r="E52" s="26"/>
      <c r="F52" s="26"/>
    </row>
    <row r="53" spans="3:6" ht="12.45">
      <c r="C53" s="26"/>
      <c r="D53" s="26"/>
      <c r="E53" s="26"/>
      <c r="F53" s="26"/>
    </row>
    <row r="54" spans="3:6" ht="12.45">
      <c r="C54" s="26"/>
      <c r="D54" s="26"/>
      <c r="E54" s="26"/>
      <c r="F54" s="26"/>
    </row>
    <row r="55" spans="3:6" ht="12.45">
      <c r="C55" s="26"/>
      <c r="D55" s="26"/>
      <c r="E55" s="26"/>
      <c r="F55" s="26"/>
    </row>
    <row r="56" spans="3:6" ht="12.45">
      <c r="C56" s="26"/>
      <c r="D56" s="26"/>
      <c r="E56" s="26"/>
      <c r="F56" s="26"/>
    </row>
    <row r="57" spans="3:6" ht="12.45">
      <c r="C57" s="26"/>
      <c r="D57" s="26"/>
      <c r="E57" s="26"/>
      <c r="F57" s="26"/>
    </row>
    <row r="58" spans="3:6" ht="12.45">
      <c r="C58" s="26"/>
      <c r="D58" s="26"/>
      <c r="E58" s="26"/>
      <c r="F58" s="26"/>
    </row>
    <row r="59" spans="3:6" ht="12.45">
      <c r="C59" s="26"/>
      <c r="D59" s="26"/>
      <c r="E59" s="26"/>
      <c r="F59" s="26"/>
    </row>
    <row r="60" spans="3:6" ht="12.45">
      <c r="C60" s="26"/>
      <c r="D60" s="26"/>
      <c r="E60" s="26"/>
      <c r="F60" s="26"/>
    </row>
    <row r="61" spans="3:6" ht="12.45">
      <c r="C61" s="26"/>
      <c r="D61" s="26"/>
      <c r="E61" s="26"/>
      <c r="F61" s="26"/>
    </row>
    <row r="62" spans="3:6" ht="12.45">
      <c r="C62" s="26"/>
      <c r="D62" s="26"/>
      <c r="E62" s="26"/>
      <c r="F62" s="26"/>
    </row>
    <row r="63" spans="3:6" ht="12.45">
      <c r="C63" s="26"/>
      <c r="D63" s="26"/>
      <c r="E63" s="26"/>
      <c r="F63" s="26"/>
    </row>
    <row r="64" spans="3:6" ht="12.45">
      <c r="C64" s="26"/>
      <c r="D64" s="26"/>
      <c r="E64" s="26"/>
      <c r="F64" s="26"/>
    </row>
    <row r="65" spans="3:6" ht="12.45">
      <c r="C65" s="26"/>
      <c r="D65" s="26"/>
      <c r="E65" s="26"/>
      <c r="F65" s="26"/>
    </row>
    <row r="66" spans="3:6" ht="12.45">
      <c r="C66" s="26"/>
      <c r="D66" s="26"/>
      <c r="E66" s="26"/>
      <c r="F66" s="26"/>
    </row>
    <row r="67" spans="3:6" ht="12.45">
      <c r="C67" s="26"/>
      <c r="D67" s="26"/>
      <c r="E67" s="26"/>
      <c r="F67" s="26"/>
    </row>
    <row r="68" spans="3:6" ht="12.45">
      <c r="C68" s="26"/>
      <c r="D68" s="26"/>
      <c r="E68" s="26"/>
      <c r="F68" s="26"/>
    </row>
    <row r="69" spans="3:6" ht="12.45">
      <c r="C69" s="26"/>
      <c r="D69" s="26"/>
      <c r="E69" s="26"/>
      <c r="F69" s="26"/>
    </row>
    <row r="70" spans="3:6" ht="12.45">
      <c r="C70" s="26"/>
      <c r="D70" s="26"/>
      <c r="E70" s="26"/>
      <c r="F70" s="26"/>
    </row>
    <row r="71" spans="3:6" ht="12.45">
      <c r="C71" s="26"/>
      <c r="D71" s="26"/>
      <c r="E71" s="26"/>
      <c r="F71" s="26"/>
    </row>
    <row r="72" spans="3:6" ht="12.45">
      <c r="C72" s="26"/>
      <c r="D72" s="26"/>
      <c r="E72" s="26"/>
      <c r="F72" s="26"/>
    </row>
    <row r="73" spans="3:6" ht="12.45">
      <c r="C73" s="26"/>
      <c r="D73" s="26"/>
      <c r="E73" s="26"/>
      <c r="F73" s="26"/>
    </row>
    <row r="74" spans="3:6" ht="12.45">
      <c r="C74" s="26"/>
      <c r="D74" s="26"/>
      <c r="E74" s="26"/>
      <c r="F74" s="26"/>
    </row>
    <row r="75" spans="3:6" ht="12.45">
      <c r="C75" s="26"/>
      <c r="D75" s="26"/>
      <c r="E75" s="26"/>
      <c r="F75" s="26"/>
    </row>
    <row r="76" spans="3:6" ht="12.45">
      <c r="C76" s="26"/>
      <c r="D76" s="26"/>
      <c r="E76" s="26"/>
      <c r="F76" s="26"/>
    </row>
    <row r="77" spans="3:6" ht="12.45">
      <c r="C77" s="26"/>
      <c r="D77" s="26"/>
      <c r="E77" s="26"/>
      <c r="F77" s="26"/>
    </row>
    <row r="78" spans="3:6" ht="12.45">
      <c r="C78" s="26"/>
      <c r="D78" s="26"/>
      <c r="E78" s="26"/>
      <c r="F78" s="26"/>
    </row>
    <row r="79" spans="3:6" ht="12.45">
      <c r="C79" s="26"/>
      <c r="D79" s="26"/>
      <c r="E79" s="26"/>
      <c r="F79" s="26"/>
    </row>
    <row r="80" spans="3:6" ht="12.45">
      <c r="C80" s="26"/>
      <c r="D80" s="26"/>
      <c r="E80" s="26"/>
      <c r="F80" s="26"/>
    </row>
    <row r="81" spans="3:6" ht="12.45">
      <c r="C81" s="26"/>
      <c r="D81" s="26"/>
      <c r="E81" s="26"/>
      <c r="F81" s="26"/>
    </row>
    <row r="82" spans="3:6" ht="12.45">
      <c r="C82" s="26"/>
      <c r="D82" s="26"/>
      <c r="E82" s="26"/>
      <c r="F82" s="26"/>
    </row>
    <row r="83" spans="3:6" ht="12.45">
      <c r="C83" s="26"/>
      <c r="D83" s="26"/>
      <c r="E83" s="26"/>
      <c r="F83" s="26"/>
    </row>
    <row r="84" spans="3:6" ht="12.45">
      <c r="C84" s="26"/>
      <c r="D84" s="26"/>
      <c r="E84" s="26"/>
      <c r="F84" s="26"/>
    </row>
    <row r="85" spans="3:6" ht="12.45">
      <c r="C85" s="26"/>
      <c r="D85" s="26"/>
      <c r="E85" s="26"/>
      <c r="F85" s="26"/>
    </row>
    <row r="86" spans="3:6" ht="12.45">
      <c r="C86" s="26"/>
      <c r="D86" s="26"/>
      <c r="E86" s="26"/>
      <c r="F86" s="26"/>
    </row>
    <row r="87" spans="3:6" ht="12.45">
      <c r="C87" s="26"/>
      <c r="D87" s="26"/>
      <c r="E87" s="26"/>
      <c r="F87" s="26"/>
    </row>
    <row r="88" spans="3:6" ht="12.45">
      <c r="C88" s="26"/>
      <c r="D88" s="26"/>
      <c r="E88" s="26"/>
      <c r="F88" s="26"/>
    </row>
    <row r="89" spans="3:6" ht="12.45">
      <c r="C89" s="26"/>
      <c r="D89" s="26"/>
      <c r="E89" s="26"/>
      <c r="F89" s="26"/>
    </row>
    <row r="90" spans="3:6" ht="12.45">
      <c r="C90" s="26"/>
      <c r="D90" s="26"/>
      <c r="E90" s="26"/>
      <c r="F90" s="26"/>
    </row>
    <row r="91" spans="3:6" ht="12.45">
      <c r="C91" s="26"/>
      <c r="D91" s="26"/>
      <c r="E91" s="26"/>
      <c r="F91" s="26"/>
    </row>
    <row r="92" spans="3:6" ht="12.45">
      <c r="C92" s="26"/>
      <c r="D92" s="26"/>
      <c r="E92" s="26"/>
      <c r="F92" s="26"/>
    </row>
    <row r="93" spans="3:6" ht="12.45">
      <c r="C93" s="26"/>
      <c r="D93" s="26"/>
      <c r="E93" s="26"/>
      <c r="F93" s="26"/>
    </row>
    <row r="94" spans="3:6" ht="12.45">
      <c r="C94" s="26"/>
      <c r="D94" s="26"/>
      <c r="E94" s="26"/>
      <c r="F94" s="26"/>
    </row>
    <row r="95" spans="3:6" ht="12.45">
      <c r="C95" s="26"/>
      <c r="D95" s="26"/>
      <c r="E95" s="26"/>
      <c r="F95" s="26"/>
    </row>
    <row r="96" spans="3:6" ht="12.45">
      <c r="C96" s="26"/>
      <c r="D96" s="26"/>
      <c r="E96" s="26"/>
      <c r="F96" s="26"/>
    </row>
    <row r="97" spans="3:6" ht="12.45">
      <c r="C97" s="26"/>
      <c r="D97" s="26"/>
      <c r="E97" s="26"/>
      <c r="F97" s="26"/>
    </row>
    <row r="98" spans="3:6" ht="12.45">
      <c r="C98" s="26"/>
      <c r="D98" s="26"/>
      <c r="E98" s="26"/>
      <c r="F98" s="26"/>
    </row>
    <row r="99" spans="3:6" ht="12.45">
      <c r="C99" s="26"/>
      <c r="D99" s="26"/>
      <c r="E99" s="26"/>
      <c r="F99" s="26"/>
    </row>
    <row r="100" spans="3:6" ht="12.45">
      <c r="C100" s="26"/>
      <c r="D100" s="26"/>
      <c r="E100" s="26"/>
      <c r="F100" s="26"/>
    </row>
    <row r="101" spans="3:6" ht="12.45">
      <c r="C101" s="26"/>
      <c r="D101" s="26"/>
      <c r="E101" s="26"/>
      <c r="F101" s="26"/>
    </row>
    <row r="102" spans="3:6" ht="12.45">
      <c r="C102" s="26"/>
      <c r="D102" s="26"/>
      <c r="E102" s="26"/>
      <c r="F102" s="26"/>
    </row>
    <row r="103" spans="3:6" ht="12.45">
      <c r="C103" s="26"/>
      <c r="D103" s="26"/>
      <c r="E103" s="26"/>
      <c r="F103" s="26"/>
    </row>
    <row r="104" spans="3:6" ht="12.45">
      <c r="C104" s="26"/>
      <c r="D104" s="26"/>
      <c r="E104" s="26"/>
      <c r="F104" s="26"/>
    </row>
    <row r="105" spans="3:6" ht="12.45">
      <c r="C105" s="26"/>
      <c r="D105" s="26"/>
      <c r="E105" s="26"/>
      <c r="F105" s="26"/>
    </row>
    <row r="106" spans="3:6" ht="12.45">
      <c r="C106" s="26"/>
      <c r="D106" s="26"/>
      <c r="E106" s="26"/>
      <c r="F106" s="26"/>
    </row>
    <row r="107" spans="3:6" ht="12.45">
      <c r="C107" s="26"/>
      <c r="D107" s="26"/>
      <c r="E107" s="26"/>
      <c r="F107" s="26"/>
    </row>
    <row r="108" spans="3:6" ht="12.45">
      <c r="C108" s="26"/>
      <c r="D108" s="26"/>
      <c r="E108" s="26"/>
      <c r="F108" s="26"/>
    </row>
    <row r="109" spans="3:6" ht="12.45">
      <c r="C109" s="26"/>
      <c r="D109" s="26"/>
      <c r="E109" s="26"/>
      <c r="F109" s="26"/>
    </row>
    <row r="110" spans="3:6" ht="12.45">
      <c r="C110" s="26"/>
      <c r="D110" s="26"/>
      <c r="E110" s="26"/>
      <c r="F110" s="26"/>
    </row>
    <row r="111" spans="3:6" ht="12.45">
      <c r="C111" s="26"/>
      <c r="D111" s="26"/>
      <c r="E111" s="26"/>
      <c r="F111" s="26"/>
    </row>
    <row r="112" spans="3:6" ht="12.45">
      <c r="C112" s="26"/>
      <c r="D112" s="26"/>
      <c r="E112" s="26"/>
      <c r="F112" s="26"/>
    </row>
    <row r="113" spans="3:6" ht="12.45">
      <c r="C113" s="26"/>
      <c r="D113" s="26"/>
      <c r="E113" s="26"/>
      <c r="F113" s="26"/>
    </row>
    <row r="114" spans="3:6" ht="12.45">
      <c r="C114" s="26"/>
      <c r="D114" s="26"/>
      <c r="E114" s="26"/>
      <c r="F114" s="26"/>
    </row>
    <row r="115" spans="3:6" ht="12.45">
      <c r="C115" s="26"/>
      <c r="D115" s="26"/>
      <c r="E115" s="26"/>
      <c r="F115" s="26"/>
    </row>
    <row r="116" spans="3:6" ht="12.45">
      <c r="C116" s="26"/>
      <c r="D116" s="26"/>
      <c r="E116" s="26"/>
      <c r="F116" s="26"/>
    </row>
    <row r="117" spans="3:6" ht="12.45">
      <c r="C117" s="26"/>
      <c r="D117" s="26"/>
      <c r="E117" s="26"/>
      <c r="F117" s="26"/>
    </row>
    <row r="118" spans="3:6" ht="12.45">
      <c r="C118" s="26"/>
      <c r="D118" s="26"/>
      <c r="E118" s="26"/>
      <c r="F118" s="26"/>
    </row>
    <row r="119" spans="3:6" ht="12.45">
      <c r="C119" s="26"/>
      <c r="D119" s="26"/>
      <c r="E119" s="26"/>
      <c r="F119" s="26"/>
    </row>
    <row r="120" spans="3:6" ht="12.45">
      <c r="C120" s="26"/>
      <c r="D120" s="26"/>
      <c r="E120" s="26"/>
      <c r="F120" s="26"/>
    </row>
    <row r="121" spans="3:6" ht="12.45">
      <c r="C121" s="26"/>
      <c r="D121" s="26"/>
      <c r="E121" s="26"/>
      <c r="F121" s="26"/>
    </row>
    <row r="122" spans="3:6" ht="12.45">
      <c r="C122" s="26"/>
      <c r="D122" s="26"/>
      <c r="E122" s="26"/>
      <c r="F122" s="26"/>
    </row>
    <row r="123" spans="3:6" ht="12.45">
      <c r="C123" s="26"/>
      <c r="D123" s="26"/>
      <c r="E123" s="26"/>
      <c r="F123" s="26"/>
    </row>
    <row r="124" spans="3:6" ht="12.45">
      <c r="C124" s="26"/>
      <c r="D124" s="26"/>
      <c r="E124" s="26"/>
      <c r="F124" s="26"/>
    </row>
    <row r="125" spans="3:6" ht="12.45">
      <c r="C125" s="26"/>
      <c r="D125" s="26"/>
      <c r="E125" s="26"/>
      <c r="F125" s="26"/>
    </row>
    <row r="126" spans="3:6" ht="12.45">
      <c r="C126" s="26"/>
      <c r="D126" s="26"/>
      <c r="E126" s="26"/>
      <c r="F126" s="26"/>
    </row>
    <row r="127" spans="3:6" ht="12.45">
      <c r="C127" s="26"/>
      <c r="D127" s="26"/>
      <c r="E127" s="26"/>
      <c r="F127" s="26"/>
    </row>
    <row r="128" spans="3:6" ht="12.45">
      <c r="C128" s="26"/>
      <c r="D128" s="26"/>
      <c r="E128" s="26"/>
      <c r="F128" s="26"/>
    </row>
    <row r="129" spans="3:6" ht="12.45">
      <c r="C129" s="26"/>
      <c r="D129" s="26"/>
      <c r="E129" s="26"/>
      <c r="F129" s="26"/>
    </row>
    <row r="130" spans="3:6" ht="12.45">
      <c r="C130" s="26"/>
      <c r="D130" s="26"/>
      <c r="E130" s="26"/>
      <c r="F130" s="26"/>
    </row>
    <row r="131" spans="3:6" ht="12.45">
      <c r="C131" s="26"/>
      <c r="D131" s="26"/>
      <c r="E131" s="26"/>
      <c r="F131" s="26"/>
    </row>
    <row r="132" spans="3:6" ht="12.45">
      <c r="C132" s="26"/>
      <c r="D132" s="26"/>
      <c r="E132" s="26"/>
      <c r="F132" s="26"/>
    </row>
    <row r="133" spans="3:6" ht="12.45">
      <c r="C133" s="26"/>
      <c r="D133" s="26"/>
      <c r="E133" s="26"/>
      <c r="F133" s="26"/>
    </row>
    <row r="134" spans="3:6" ht="12.45">
      <c r="C134" s="26"/>
      <c r="D134" s="26"/>
      <c r="E134" s="26"/>
      <c r="F134" s="26"/>
    </row>
    <row r="135" spans="3:6" ht="12.45">
      <c r="C135" s="26"/>
      <c r="D135" s="26"/>
      <c r="E135" s="26"/>
      <c r="F135" s="26"/>
    </row>
    <row r="136" spans="3:6" ht="12.45">
      <c r="C136" s="26"/>
      <c r="D136" s="26"/>
      <c r="E136" s="26"/>
      <c r="F136" s="26"/>
    </row>
    <row r="137" spans="3:6" ht="12.45">
      <c r="C137" s="26"/>
      <c r="D137" s="26"/>
      <c r="E137" s="26"/>
      <c r="F137" s="26"/>
    </row>
    <row r="138" spans="3:6" ht="12.45">
      <c r="C138" s="26"/>
      <c r="D138" s="26"/>
      <c r="E138" s="26"/>
      <c r="F138" s="26"/>
    </row>
    <row r="139" spans="3:6" ht="12.45">
      <c r="C139" s="26"/>
      <c r="D139" s="26"/>
      <c r="E139" s="26"/>
      <c r="F139" s="26"/>
    </row>
    <row r="140" spans="3:6" ht="12.45">
      <c r="C140" s="26"/>
      <c r="D140" s="26"/>
      <c r="E140" s="26"/>
      <c r="F140" s="26"/>
    </row>
    <row r="141" spans="3:6" ht="12.45">
      <c r="C141" s="26"/>
      <c r="D141" s="26"/>
      <c r="E141" s="26"/>
      <c r="F141" s="26"/>
    </row>
    <row r="142" spans="3:6" ht="12.45">
      <c r="C142" s="26"/>
      <c r="D142" s="26"/>
      <c r="E142" s="26"/>
      <c r="F142" s="26"/>
    </row>
    <row r="143" spans="3:6" ht="12.45">
      <c r="C143" s="26"/>
      <c r="D143" s="26"/>
      <c r="E143" s="26"/>
      <c r="F143" s="26"/>
    </row>
    <row r="144" spans="3:6" ht="12.45">
      <c r="C144" s="26"/>
      <c r="D144" s="26"/>
      <c r="E144" s="26"/>
      <c r="F144" s="26"/>
    </row>
    <row r="145" spans="3:6" ht="12.45">
      <c r="C145" s="26"/>
      <c r="D145" s="26"/>
      <c r="E145" s="26"/>
      <c r="F145" s="26"/>
    </row>
    <row r="146" spans="3:6" ht="12.45">
      <c r="C146" s="26"/>
      <c r="D146" s="26"/>
      <c r="E146" s="26"/>
      <c r="F146" s="26"/>
    </row>
    <row r="147" spans="3:6" ht="12.45">
      <c r="C147" s="26"/>
      <c r="D147" s="26"/>
      <c r="E147" s="26"/>
      <c r="F147" s="26"/>
    </row>
    <row r="148" spans="3:6" ht="12.45">
      <c r="C148" s="26"/>
      <c r="D148" s="26"/>
      <c r="E148" s="26"/>
      <c r="F148" s="26"/>
    </row>
    <row r="149" spans="3:6" ht="12.45">
      <c r="C149" s="26"/>
      <c r="D149" s="26"/>
      <c r="E149" s="26"/>
      <c r="F149" s="26"/>
    </row>
    <row r="150" spans="3:6" ht="12.45">
      <c r="C150" s="26"/>
      <c r="D150" s="26"/>
      <c r="E150" s="26"/>
      <c r="F150" s="26"/>
    </row>
    <row r="151" spans="3:6" ht="12.45">
      <c r="C151" s="26"/>
      <c r="D151" s="26"/>
      <c r="E151" s="26"/>
      <c r="F151" s="26"/>
    </row>
    <row r="152" spans="3:6" ht="12.45">
      <c r="C152" s="26"/>
      <c r="D152" s="26"/>
      <c r="E152" s="26"/>
      <c r="F152" s="26"/>
    </row>
    <row r="153" spans="3:6" ht="12.45">
      <c r="C153" s="26"/>
      <c r="D153" s="26"/>
      <c r="E153" s="26"/>
      <c r="F153" s="26"/>
    </row>
    <row r="154" spans="3:6" ht="12.45">
      <c r="C154" s="26"/>
      <c r="D154" s="26"/>
      <c r="E154" s="26"/>
      <c r="F154" s="26"/>
    </row>
    <row r="155" spans="3:6" ht="12.45">
      <c r="C155" s="26"/>
      <c r="D155" s="26"/>
      <c r="E155" s="26"/>
      <c r="F155" s="26"/>
    </row>
    <row r="156" spans="3:6" ht="12.45">
      <c r="C156" s="26"/>
      <c r="D156" s="26"/>
      <c r="E156" s="26"/>
      <c r="F156" s="26"/>
    </row>
    <row r="157" spans="3:6" ht="12.45">
      <c r="C157" s="26"/>
      <c r="D157" s="26"/>
      <c r="E157" s="26"/>
      <c r="F157" s="26"/>
    </row>
    <row r="158" spans="3:6" ht="12.45">
      <c r="C158" s="26"/>
      <c r="D158" s="26"/>
      <c r="E158" s="26"/>
      <c r="F158" s="26"/>
    </row>
    <row r="159" spans="3:6" ht="12.45">
      <c r="C159" s="26"/>
      <c r="D159" s="26"/>
      <c r="E159" s="26"/>
      <c r="F159" s="26"/>
    </row>
    <row r="160" spans="3:6" ht="12.45">
      <c r="C160" s="26"/>
      <c r="D160" s="26"/>
      <c r="E160" s="26"/>
      <c r="F160" s="26"/>
    </row>
    <row r="161" spans="3:6" ht="12.45">
      <c r="C161" s="26"/>
      <c r="D161" s="26"/>
      <c r="E161" s="26"/>
      <c r="F161" s="26"/>
    </row>
    <row r="162" spans="3:6" ht="12.45">
      <c r="C162" s="26"/>
      <c r="D162" s="26"/>
      <c r="E162" s="26"/>
      <c r="F162" s="26"/>
    </row>
    <row r="163" spans="3:6" ht="12.45">
      <c r="C163" s="26"/>
      <c r="D163" s="26"/>
      <c r="E163" s="26"/>
      <c r="F163" s="26"/>
    </row>
    <row r="164" spans="3:6" ht="12.45">
      <c r="C164" s="26"/>
      <c r="D164" s="26"/>
      <c r="E164" s="26"/>
      <c r="F164" s="26"/>
    </row>
    <row r="165" spans="3:6" ht="12.45">
      <c r="C165" s="26"/>
      <c r="D165" s="26"/>
      <c r="E165" s="26"/>
      <c r="F165" s="26"/>
    </row>
    <row r="166" spans="3:6" ht="12.45">
      <c r="C166" s="26"/>
      <c r="D166" s="26"/>
      <c r="E166" s="26"/>
      <c r="F166" s="26"/>
    </row>
    <row r="167" spans="3:6" ht="12.45">
      <c r="C167" s="26"/>
      <c r="D167" s="26"/>
      <c r="E167" s="26"/>
      <c r="F167" s="26"/>
    </row>
    <row r="168" spans="3:6" ht="12.45">
      <c r="C168" s="26"/>
      <c r="D168" s="26"/>
      <c r="E168" s="26"/>
      <c r="F168" s="26"/>
    </row>
    <row r="169" spans="3:6" ht="12.45">
      <c r="C169" s="26"/>
      <c r="D169" s="26"/>
      <c r="E169" s="26"/>
      <c r="F169" s="26"/>
    </row>
    <row r="170" spans="3:6" ht="12.45">
      <c r="C170" s="26"/>
      <c r="D170" s="26"/>
      <c r="E170" s="26"/>
      <c r="F170" s="26"/>
    </row>
    <row r="171" spans="3:6" ht="12.45">
      <c r="C171" s="26"/>
      <c r="D171" s="26"/>
      <c r="E171" s="26"/>
      <c r="F171" s="26"/>
    </row>
    <row r="172" spans="3:6" ht="12.45">
      <c r="C172" s="26"/>
      <c r="D172" s="26"/>
      <c r="E172" s="26"/>
      <c r="F172" s="26"/>
    </row>
    <row r="173" spans="3:6" ht="12.45">
      <c r="C173" s="26"/>
      <c r="D173" s="26"/>
      <c r="E173" s="26"/>
      <c r="F173" s="26"/>
    </row>
    <row r="174" spans="3:6" ht="12.45">
      <c r="C174" s="26"/>
      <c r="D174" s="26"/>
      <c r="E174" s="26"/>
      <c r="F174" s="26"/>
    </row>
    <row r="175" spans="3:6" ht="12.45">
      <c r="C175" s="26"/>
      <c r="D175" s="26"/>
      <c r="E175" s="26"/>
      <c r="F175" s="26"/>
    </row>
    <row r="176" spans="3:6" ht="12.45">
      <c r="C176" s="26"/>
      <c r="D176" s="26"/>
      <c r="E176" s="26"/>
      <c r="F176" s="26"/>
    </row>
    <row r="177" spans="3:6" ht="12.45">
      <c r="C177" s="26"/>
      <c r="D177" s="26"/>
      <c r="E177" s="26"/>
      <c r="F177" s="26"/>
    </row>
    <row r="178" spans="3:6" ht="12.45">
      <c r="C178" s="26"/>
      <c r="D178" s="26"/>
      <c r="E178" s="26"/>
      <c r="F178" s="26"/>
    </row>
    <row r="179" spans="3:6" ht="12.45">
      <c r="C179" s="26"/>
      <c r="D179" s="26"/>
      <c r="E179" s="26"/>
      <c r="F179" s="26"/>
    </row>
    <row r="180" spans="3:6" ht="12.45">
      <c r="C180" s="26"/>
      <c r="D180" s="26"/>
      <c r="E180" s="26"/>
      <c r="F180" s="26"/>
    </row>
    <row r="181" spans="3:6" ht="12.45">
      <c r="C181" s="26"/>
      <c r="D181" s="26"/>
      <c r="E181" s="26"/>
      <c r="F181" s="26"/>
    </row>
    <row r="182" spans="3:6" ht="12.45">
      <c r="C182" s="26"/>
      <c r="D182" s="26"/>
      <c r="E182" s="26"/>
      <c r="F182" s="26"/>
    </row>
    <row r="183" spans="3:6" ht="12.45">
      <c r="C183" s="26"/>
      <c r="D183" s="26"/>
      <c r="E183" s="26"/>
      <c r="F183" s="26"/>
    </row>
    <row r="184" spans="3:6" ht="12.45">
      <c r="C184" s="26"/>
      <c r="D184" s="26"/>
      <c r="E184" s="26"/>
      <c r="F184" s="26"/>
    </row>
    <row r="185" spans="3:6" ht="12.45">
      <c r="C185" s="26"/>
      <c r="D185" s="26"/>
      <c r="E185" s="26"/>
      <c r="F185" s="26"/>
    </row>
    <row r="186" spans="3:6" ht="12.45">
      <c r="C186" s="26"/>
      <c r="D186" s="26"/>
      <c r="E186" s="26"/>
      <c r="F186" s="26"/>
    </row>
    <row r="187" spans="3:6" ht="12.45">
      <c r="C187" s="26"/>
      <c r="D187" s="26"/>
      <c r="E187" s="26"/>
      <c r="F187" s="26"/>
    </row>
    <row r="188" spans="3:6" ht="12.45">
      <c r="C188" s="26"/>
      <c r="D188" s="26"/>
      <c r="E188" s="26"/>
      <c r="F188" s="26"/>
    </row>
    <row r="189" spans="3:6" ht="12.45">
      <c r="C189" s="26"/>
      <c r="D189" s="26"/>
      <c r="E189" s="26"/>
      <c r="F189" s="26"/>
    </row>
    <row r="190" spans="3:6" ht="12.45">
      <c r="C190" s="26"/>
      <c r="D190" s="26"/>
      <c r="E190" s="26"/>
      <c r="F190" s="26"/>
    </row>
    <row r="191" spans="3:6" ht="12.45">
      <c r="C191" s="26"/>
      <c r="D191" s="26"/>
      <c r="E191" s="26"/>
      <c r="F191" s="26"/>
    </row>
    <row r="192" spans="3:6" ht="12.45">
      <c r="C192" s="26"/>
      <c r="D192" s="26"/>
      <c r="E192" s="26"/>
      <c r="F192" s="26"/>
    </row>
    <row r="193" spans="3:6" ht="12.45">
      <c r="C193" s="26"/>
      <c r="D193" s="26"/>
      <c r="E193" s="26"/>
      <c r="F193" s="26"/>
    </row>
    <row r="194" spans="3:6" ht="12.45">
      <c r="C194" s="26"/>
      <c r="D194" s="26"/>
      <c r="E194" s="26"/>
      <c r="F194" s="26"/>
    </row>
    <row r="195" spans="3:6" ht="12.45">
      <c r="C195" s="26"/>
      <c r="D195" s="26"/>
      <c r="E195" s="26"/>
      <c r="F195" s="26"/>
    </row>
    <row r="196" spans="3:6" ht="12.45">
      <c r="C196" s="26"/>
      <c r="D196" s="26"/>
      <c r="E196" s="26"/>
      <c r="F196" s="26"/>
    </row>
    <row r="197" spans="3:6" ht="12.45">
      <c r="C197" s="26"/>
      <c r="D197" s="26"/>
      <c r="E197" s="26"/>
      <c r="F197" s="26"/>
    </row>
    <row r="198" spans="3:6" ht="12.45">
      <c r="C198" s="26"/>
      <c r="D198" s="26"/>
      <c r="E198" s="26"/>
      <c r="F198" s="26"/>
    </row>
    <row r="199" spans="3:6" ht="12.45">
      <c r="C199" s="26"/>
      <c r="D199" s="26"/>
      <c r="E199" s="26"/>
      <c r="F199" s="26"/>
    </row>
    <row r="200" spans="3:6" ht="12.45">
      <c r="C200" s="26"/>
      <c r="D200" s="26"/>
      <c r="E200" s="26"/>
      <c r="F200" s="26"/>
    </row>
    <row r="201" spans="3:6" ht="12.45">
      <c r="C201" s="26"/>
      <c r="D201" s="26"/>
      <c r="E201" s="26"/>
      <c r="F201" s="26"/>
    </row>
    <row r="202" spans="3:6" ht="12.45">
      <c r="C202" s="26"/>
      <c r="D202" s="26"/>
      <c r="E202" s="26"/>
      <c r="F202" s="26"/>
    </row>
    <row r="203" spans="3:6" ht="12.45">
      <c r="C203" s="26"/>
      <c r="D203" s="26"/>
      <c r="E203" s="26"/>
      <c r="F203" s="26"/>
    </row>
    <row r="204" spans="3:6" ht="12.45">
      <c r="C204" s="26"/>
      <c r="D204" s="26"/>
      <c r="E204" s="26"/>
      <c r="F204" s="26"/>
    </row>
    <row r="205" spans="3:6" ht="12.45">
      <c r="C205" s="26"/>
      <c r="D205" s="26"/>
      <c r="E205" s="26"/>
      <c r="F205" s="26"/>
    </row>
    <row r="206" spans="3:6" ht="12.45">
      <c r="C206" s="26"/>
      <c r="D206" s="26"/>
      <c r="E206" s="26"/>
      <c r="F206" s="26"/>
    </row>
    <row r="207" spans="3:6" ht="12.45">
      <c r="C207" s="26"/>
      <c r="D207" s="26"/>
      <c r="E207" s="26"/>
      <c r="F207" s="26"/>
    </row>
    <row r="208" spans="3:6" ht="12.45">
      <c r="C208" s="26"/>
      <c r="D208" s="26"/>
      <c r="E208" s="26"/>
      <c r="F208" s="26"/>
    </row>
    <row r="209" spans="3:6" ht="12.45">
      <c r="C209" s="26"/>
      <c r="D209" s="26"/>
      <c r="E209" s="26"/>
      <c r="F209" s="26"/>
    </row>
    <row r="210" spans="3:6" ht="12.45">
      <c r="C210" s="26"/>
      <c r="D210" s="26"/>
      <c r="E210" s="26"/>
      <c r="F210" s="26"/>
    </row>
    <row r="211" spans="3:6" ht="12.45">
      <c r="C211" s="26"/>
      <c r="D211" s="26"/>
      <c r="E211" s="26"/>
      <c r="F211" s="26"/>
    </row>
    <row r="212" spans="3:6" ht="12.45">
      <c r="C212" s="26"/>
      <c r="D212" s="26"/>
      <c r="E212" s="26"/>
      <c r="F212" s="26"/>
    </row>
    <row r="213" spans="3:6" ht="12.45">
      <c r="C213" s="26"/>
      <c r="D213" s="26"/>
      <c r="E213" s="26"/>
      <c r="F213" s="26"/>
    </row>
    <row r="214" spans="3:6" ht="12.45">
      <c r="C214" s="26"/>
      <c r="D214" s="26"/>
      <c r="E214" s="26"/>
      <c r="F214" s="26"/>
    </row>
    <row r="215" spans="3:6" ht="12.45">
      <c r="C215" s="26"/>
      <c r="D215" s="26"/>
      <c r="E215" s="26"/>
      <c r="F215" s="26"/>
    </row>
    <row r="216" spans="3:6" ht="12.45">
      <c r="C216" s="26"/>
      <c r="D216" s="26"/>
      <c r="E216" s="26"/>
      <c r="F216" s="26"/>
    </row>
    <row r="217" spans="3:6" ht="12.45">
      <c r="C217" s="26"/>
      <c r="D217" s="26"/>
      <c r="E217" s="26"/>
      <c r="F217" s="26"/>
    </row>
    <row r="218" spans="3:6" ht="12.45">
      <c r="C218" s="26"/>
      <c r="D218" s="26"/>
      <c r="E218" s="26"/>
      <c r="F218" s="26"/>
    </row>
    <row r="219" spans="3:6" ht="12.45">
      <c r="C219" s="26"/>
      <c r="D219" s="26"/>
      <c r="E219" s="26"/>
      <c r="F219" s="26"/>
    </row>
    <row r="220" spans="3:6" ht="12.45">
      <c r="C220" s="26"/>
      <c r="D220" s="26"/>
      <c r="E220" s="26"/>
      <c r="F220" s="26"/>
    </row>
    <row r="221" spans="3:6" ht="12.45">
      <c r="C221" s="26"/>
      <c r="D221" s="26"/>
      <c r="E221" s="26"/>
      <c r="F221" s="26"/>
    </row>
    <row r="222" spans="3:6" ht="12.45">
      <c r="C222" s="26"/>
      <c r="D222" s="26"/>
      <c r="E222" s="26"/>
      <c r="F222" s="26"/>
    </row>
    <row r="223" spans="3:6" ht="12.45">
      <c r="C223" s="26"/>
      <c r="D223" s="26"/>
      <c r="E223" s="26"/>
      <c r="F223" s="26"/>
    </row>
    <row r="224" spans="3:6" ht="12.45">
      <c r="C224" s="26"/>
      <c r="D224" s="26"/>
      <c r="E224" s="26"/>
      <c r="F224" s="26"/>
    </row>
    <row r="225" spans="3:6" ht="12.45">
      <c r="C225" s="26"/>
      <c r="D225" s="26"/>
      <c r="E225" s="26"/>
      <c r="F225" s="26"/>
    </row>
    <row r="226" spans="3:6" ht="12.45">
      <c r="C226" s="26"/>
      <c r="D226" s="26"/>
      <c r="E226" s="26"/>
      <c r="F226" s="26"/>
    </row>
    <row r="227" spans="3:6" ht="12.45">
      <c r="C227" s="26"/>
      <c r="D227" s="26"/>
      <c r="E227" s="26"/>
      <c r="F227" s="26"/>
    </row>
    <row r="228" spans="3:6" ht="12.45">
      <c r="C228" s="26"/>
      <c r="D228" s="26"/>
      <c r="E228" s="26"/>
      <c r="F228" s="26"/>
    </row>
    <row r="229" spans="3:6" ht="12.45">
      <c r="C229" s="26"/>
      <c r="D229" s="26"/>
      <c r="E229" s="26"/>
      <c r="F229" s="26"/>
    </row>
    <row r="230" spans="3:6" ht="12.45">
      <c r="C230" s="26"/>
      <c r="D230" s="26"/>
      <c r="E230" s="26"/>
      <c r="F230" s="26"/>
    </row>
    <row r="231" spans="3:6" ht="12.45">
      <c r="C231" s="26"/>
      <c r="D231" s="26"/>
      <c r="E231" s="26"/>
      <c r="F231" s="26"/>
    </row>
    <row r="232" spans="3:6" ht="12.45">
      <c r="C232" s="26"/>
      <c r="D232" s="26"/>
      <c r="E232" s="26"/>
      <c r="F232" s="26"/>
    </row>
    <row r="233" spans="3:6" ht="12.45">
      <c r="C233" s="26"/>
      <c r="D233" s="26"/>
      <c r="E233" s="26"/>
      <c r="F233" s="26"/>
    </row>
    <row r="234" spans="3:6" ht="12.45">
      <c r="C234" s="26"/>
      <c r="D234" s="26"/>
      <c r="E234" s="26"/>
      <c r="F234" s="26"/>
    </row>
    <row r="235" spans="3:6" ht="12.45">
      <c r="C235" s="26"/>
      <c r="D235" s="26"/>
      <c r="E235" s="26"/>
      <c r="F235" s="26"/>
    </row>
    <row r="236" spans="3:6" ht="12.45">
      <c r="C236" s="26"/>
      <c r="D236" s="26"/>
      <c r="E236" s="26"/>
      <c r="F236" s="26"/>
    </row>
    <row r="237" spans="3:6" ht="12.45">
      <c r="C237" s="26"/>
      <c r="D237" s="26"/>
      <c r="E237" s="26"/>
      <c r="F237" s="26"/>
    </row>
    <row r="238" spans="3:6" ht="12.45">
      <c r="C238" s="26"/>
      <c r="D238" s="26"/>
      <c r="E238" s="26"/>
      <c r="F238" s="26"/>
    </row>
    <row r="239" spans="3:6" ht="12.45">
      <c r="C239" s="26"/>
      <c r="D239" s="26"/>
      <c r="E239" s="26"/>
      <c r="F239" s="26"/>
    </row>
    <row r="240" spans="3:6" ht="12.45">
      <c r="C240" s="26"/>
      <c r="D240" s="26"/>
      <c r="E240" s="26"/>
      <c r="F240" s="26"/>
    </row>
    <row r="241" spans="3:6" ht="12.45">
      <c r="C241" s="26"/>
      <c r="D241" s="26"/>
      <c r="E241" s="26"/>
      <c r="F241" s="26"/>
    </row>
    <row r="242" spans="3:6" ht="12.45">
      <c r="C242" s="26"/>
      <c r="D242" s="26"/>
      <c r="E242" s="26"/>
      <c r="F242" s="26"/>
    </row>
    <row r="243" spans="3:6" ht="12.45">
      <c r="C243" s="26"/>
      <c r="D243" s="26"/>
      <c r="E243" s="26"/>
      <c r="F243" s="26"/>
    </row>
    <row r="244" spans="3:6" ht="12.45">
      <c r="C244" s="26"/>
      <c r="D244" s="26"/>
      <c r="E244" s="26"/>
      <c r="F244" s="26"/>
    </row>
    <row r="245" spans="3:6" ht="12.45">
      <c r="C245" s="26"/>
      <c r="D245" s="26"/>
      <c r="E245" s="26"/>
      <c r="F245" s="26"/>
    </row>
    <row r="246" spans="3:6" ht="12.45">
      <c r="C246" s="26"/>
      <c r="D246" s="26"/>
      <c r="E246" s="26"/>
      <c r="F246" s="26"/>
    </row>
    <row r="247" spans="3:6" ht="12.45">
      <c r="C247" s="26"/>
      <c r="D247" s="26"/>
      <c r="E247" s="26"/>
      <c r="F247" s="26"/>
    </row>
    <row r="248" spans="3:6" ht="12.45">
      <c r="C248" s="26"/>
      <c r="D248" s="26"/>
      <c r="E248" s="26"/>
      <c r="F248" s="26"/>
    </row>
    <row r="249" spans="3:6" ht="12.45">
      <c r="C249" s="26"/>
      <c r="D249" s="26"/>
      <c r="E249" s="26"/>
      <c r="F249" s="26"/>
    </row>
    <row r="250" spans="3:6" ht="12.45">
      <c r="C250" s="26"/>
      <c r="D250" s="26"/>
      <c r="E250" s="26"/>
      <c r="F250" s="26"/>
    </row>
    <row r="251" spans="3:6" ht="12.45">
      <c r="C251" s="26"/>
      <c r="D251" s="26"/>
      <c r="E251" s="26"/>
      <c r="F251" s="26"/>
    </row>
    <row r="252" spans="3:6" ht="12.45">
      <c r="C252" s="26"/>
      <c r="D252" s="26"/>
      <c r="E252" s="26"/>
      <c r="F252" s="26"/>
    </row>
    <row r="253" spans="3:6" ht="12.45">
      <c r="C253" s="26"/>
      <c r="D253" s="26"/>
      <c r="E253" s="26"/>
      <c r="F253" s="26"/>
    </row>
    <row r="254" spans="3:6" ht="12.45">
      <c r="C254" s="26"/>
      <c r="D254" s="26"/>
      <c r="E254" s="26"/>
      <c r="F254" s="26"/>
    </row>
    <row r="255" spans="3:6" ht="12.45">
      <c r="C255" s="26"/>
      <c r="D255" s="26"/>
      <c r="E255" s="26"/>
      <c r="F255" s="26"/>
    </row>
    <row r="256" spans="3:6" ht="12.45">
      <c r="C256" s="26"/>
      <c r="D256" s="26"/>
      <c r="E256" s="26"/>
      <c r="F256" s="26"/>
    </row>
    <row r="257" spans="3:6" ht="12.45">
      <c r="C257" s="26"/>
      <c r="D257" s="26"/>
      <c r="E257" s="26"/>
      <c r="F257" s="26"/>
    </row>
    <row r="258" spans="3:6" ht="12.45">
      <c r="C258" s="26"/>
      <c r="D258" s="26"/>
      <c r="E258" s="26"/>
      <c r="F258" s="26"/>
    </row>
    <row r="259" spans="3:6" ht="12.45">
      <c r="C259" s="26"/>
      <c r="D259" s="26"/>
      <c r="E259" s="26"/>
      <c r="F259" s="26"/>
    </row>
    <row r="260" spans="3:6" ht="12.45">
      <c r="C260" s="26"/>
      <c r="D260" s="26"/>
      <c r="E260" s="26"/>
      <c r="F260" s="26"/>
    </row>
    <row r="261" spans="3:6" ht="12.45">
      <c r="C261" s="26"/>
      <c r="D261" s="26"/>
      <c r="E261" s="26"/>
      <c r="F261" s="26"/>
    </row>
    <row r="262" spans="3:6" ht="12.45">
      <c r="C262" s="26"/>
      <c r="D262" s="26"/>
      <c r="E262" s="26"/>
      <c r="F262" s="26"/>
    </row>
    <row r="263" spans="3:6" ht="12.45">
      <c r="C263" s="26"/>
      <c r="D263" s="26"/>
      <c r="E263" s="26"/>
      <c r="F263" s="26"/>
    </row>
    <row r="264" spans="3:6" ht="12.45">
      <c r="C264" s="26"/>
      <c r="D264" s="26"/>
      <c r="E264" s="26"/>
      <c r="F264" s="26"/>
    </row>
    <row r="265" spans="3:6" ht="12.45">
      <c r="C265" s="26"/>
      <c r="D265" s="26"/>
      <c r="E265" s="26"/>
      <c r="F265" s="26"/>
    </row>
    <row r="266" spans="3:6" ht="12.45">
      <c r="C266" s="26"/>
      <c r="D266" s="26"/>
      <c r="E266" s="26"/>
      <c r="F266" s="26"/>
    </row>
    <row r="267" spans="3:6" ht="12.45">
      <c r="C267" s="26"/>
      <c r="D267" s="26"/>
      <c r="E267" s="26"/>
      <c r="F267" s="26"/>
    </row>
    <row r="268" spans="3:6" ht="12.45">
      <c r="C268" s="26"/>
      <c r="D268" s="26"/>
      <c r="E268" s="26"/>
      <c r="F268" s="26"/>
    </row>
    <row r="269" spans="3:6" ht="12.45">
      <c r="C269" s="26"/>
      <c r="D269" s="26"/>
      <c r="E269" s="26"/>
      <c r="F269" s="26"/>
    </row>
    <row r="270" spans="3:6" ht="12.45">
      <c r="C270" s="26"/>
      <c r="D270" s="26"/>
      <c r="E270" s="26"/>
      <c r="F270" s="26"/>
    </row>
    <row r="271" spans="3:6" ht="12.45">
      <c r="C271" s="26"/>
      <c r="D271" s="26"/>
      <c r="E271" s="26"/>
      <c r="F271" s="26"/>
    </row>
    <row r="272" spans="3:6" ht="12.45">
      <c r="C272" s="26"/>
      <c r="D272" s="26"/>
      <c r="E272" s="26"/>
      <c r="F272" s="26"/>
    </row>
    <row r="273" spans="3:6" ht="12.45">
      <c r="C273" s="26"/>
      <c r="D273" s="26"/>
      <c r="E273" s="26"/>
      <c r="F273" s="26"/>
    </row>
    <row r="274" spans="3:6" ht="12.45">
      <c r="C274" s="26"/>
      <c r="D274" s="26"/>
      <c r="E274" s="26"/>
      <c r="F274" s="26"/>
    </row>
    <row r="275" spans="3:6" ht="12.45">
      <c r="C275" s="26"/>
      <c r="D275" s="26"/>
      <c r="E275" s="26"/>
      <c r="F275" s="26"/>
    </row>
    <row r="276" spans="3:6" ht="12.45">
      <c r="C276" s="26"/>
      <c r="D276" s="26"/>
      <c r="E276" s="26"/>
      <c r="F276" s="26"/>
    </row>
    <row r="277" spans="3:6" ht="12.45">
      <c r="C277" s="26"/>
      <c r="D277" s="26"/>
      <c r="E277" s="26"/>
      <c r="F277" s="26"/>
    </row>
    <row r="278" spans="3:6" ht="12.45">
      <c r="C278" s="26"/>
      <c r="D278" s="26"/>
      <c r="E278" s="26"/>
      <c r="F278" s="26"/>
    </row>
    <row r="279" spans="3:6" ht="12.45">
      <c r="C279" s="26"/>
      <c r="D279" s="26"/>
      <c r="E279" s="26"/>
      <c r="F279" s="26"/>
    </row>
    <row r="280" spans="3:6" ht="12.45">
      <c r="C280" s="26"/>
      <c r="D280" s="26"/>
      <c r="E280" s="26"/>
      <c r="F280" s="26"/>
    </row>
    <row r="281" spans="3:6" ht="12.45">
      <c r="C281" s="26"/>
      <c r="D281" s="26"/>
      <c r="E281" s="26"/>
      <c r="F281" s="26"/>
    </row>
    <row r="282" spans="3:6" ht="12.45">
      <c r="C282" s="26"/>
      <c r="D282" s="26"/>
      <c r="E282" s="26"/>
      <c r="F282" s="26"/>
    </row>
    <row r="283" spans="3:6" ht="12.45">
      <c r="C283" s="26"/>
      <c r="D283" s="26"/>
      <c r="E283" s="26"/>
      <c r="F283" s="26"/>
    </row>
    <row r="284" spans="3:6" ht="12.45">
      <c r="C284" s="26"/>
      <c r="D284" s="26"/>
      <c r="E284" s="26"/>
      <c r="F284" s="26"/>
    </row>
    <row r="285" spans="3:6" ht="12.45">
      <c r="C285" s="26"/>
      <c r="D285" s="26"/>
      <c r="E285" s="26"/>
      <c r="F285" s="26"/>
    </row>
    <row r="286" spans="3:6" ht="12.45">
      <c r="C286" s="26"/>
      <c r="D286" s="26"/>
      <c r="E286" s="26"/>
      <c r="F286" s="26"/>
    </row>
    <row r="287" spans="3:6" ht="12.45">
      <c r="C287" s="26"/>
      <c r="D287" s="26"/>
      <c r="E287" s="26"/>
      <c r="F287" s="26"/>
    </row>
    <row r="288" spans="3:6" ht="12.45">
      <c r="C288" s="26"/>
      <c r="D288" s="26"/>
      <c r="E288" s="26"/>
      <c r="F288" s="26"/>
    </row>
    <row r="289" spans="3:6" ht="12.45">
      <c r="C289" s="26"/>
      <c r="D289" s="26"/>
      <c r="E289" s="26"/>
      <c r="F289" s="26"/>
    </row>
    <row r="290" spans="3:6" ht="12.45">
      <c r="C290" s="26"/>
      <c r="D290" s="26"/>
      <c r="E290" s="26"/>
      <c r="F290" s="26"/>
    </row>
    <row r="291" spans="3:6" ht="12.45">
      <c r="C291" s="26"/>
      <c r="D291" s="26"/>
      <c r="E291" s="26"/>
      <c r="F291" s="26"/>
    </row>
    <row r="292" spans="3:6" ht="12.45">
      <c r="C292" s="26"/>
      <c r="D292" s="26"/>
      <c r="E292" s="26"/>
      <c r="F292" s="26"/>
    </row>
    <row r="293" spans="3:6" ht="12.45">
      <c r="C293" s="26"/>
      <c r="D293" s="26"/>
      <c r="E293" s="26"/>
      <c r="F293" s="26"/>
    </row>
    <row r="294" spans="3:6" ht="12.45">
      <c r="C294" s="26"/>
      <c r="D294" s="26"/>
      <c r="E294" s="26"/>
      <c r="F294" s="26"/>
    </row>
    <row r="295" spans="3:6" ht="12.45">
      <c r="C295" s="26"/>
      <c r="D295" s="26"/>
      <c r="E295" s="26"/>
      <c r="F295" s="26"/>
    </row>
    <row r="296" spans="3:6" ht="12.45">
      <c r="C296" s="26"/>
      <c r="D296" s="26"/>
      <c r="E296" s="26"/>
      <c r="F296" s="26"/>
    </row>
    <row r="297" spans="3:6" ht="12.45">
      <c r="C297" s="26"/>
      <c r="D297" s="26"/>
      <c r="E297" s="26"/>
      <c r="F297" s="26"/>
    </row>
    <row r="298" spans="3:6" ht="12.45">
      <c r="C298" s="26"/>
      <c r="D298" s="26"/>
      <c r="E298" s="26"/>
      <c r="F298" s="26"/>
    </row>
    <row r="299" spans="3:6" ht="12.45">
      <c r="C299" s="26"/>
      <c r="D299" s="26"/>
      <c r="E299" s="26"/>
      <c r="F299" s="26"/>
    </row>
    <row r="300" spans="3:6" ht="12.45">
      <c r="C300" s="26"/>
      <c r="D300" s="26"/>
      <c r="E300" s="26"/>
      <c r="F300" s="26"/>
    </row>
    <row r="301" spans="3:6" ht="12.45">
      <c r="C301" s="26"/>
      <c r="D301" s="26"/>
      <c r="E301" s="26"/>
      <c r="F301" s="26"/>
    </row>
    <row r="302" spans="3:6" ht="12.45">
      <c r="C302" s="26"/>
      <c r="D302" s="26"/>
      <c r="E302" s="26"/>
      <c r="F302" s="26"/>
    </row>
    <row r="303" spans="3:6" ht="12.45">
      <c r="C303" s="26"/>
      <c r="D303" s="26"/>
      <c r="E303" s="26"/>
      <c r="F303" s="26"/>
    </row>
    <row r="304" spans="3:6" ht="12.45">
      <c r="C304" s="26"/>
      <c r="D304" s="26"/>
      <c r="E304" s="26"/>
      <c r="F304" s="26"/>
    </row>
    <row r="305" spans="3:6" ht="12.45">
      <c r="C305" s="26"/>
      <c r="D305" s="26"/>
      <c r="E305" s="26"/>
      <c r="F305" s="26"/>
    </row>
    <row r="306" spans="3:6" ht="12.45">
      <c r="C306" s="26"/>
      <c r="D306" s="26"/>
      <c r="E306" s="26"/>
      <c r="F306" s="26"/>
    </row>
    <row r="307" spans="3:6" ht="12.45">
      <c r="C307" s="26"/>
      <c r="D307" s="26"/>
      <c r="E307" s="26"/>
      <c r="F307" s="26"/>
    </row>
    <row r="308" spans="3:6" ht="12.45">
      <c r="C308" s="26"/>
      <c r="D308" s="26"/>
      <c r="E308" s="26"/>
      <c r="F308" s="26"/>
    </row>
    <row r="309" spans="3:6" ht="12.45">
      <c r="C309" s="26"/>
      <c r="D309" s="26"/>
      <c r="E309" s="26"/>
      <c r="F309" s="26"/>
    </row>
    <row r="310" spans="3:6" ht="12.45">
      <c r="C310" s="26"/>
      <c r="D310" s="26"/>
      <c r="E310" s="26"/>
      <c r="F310" s="26"/>
    </row>
    <row r="311" spans="3:6" ht="12.45">
      <c r="C311" s="26"/>
      <c r="D311" s="26"/>
      <c r="E311" s="26"/>
      <c r="F311" s="26"/>
    </row>
    <row r="312" spans="3:6" ht="12.45">
      <c r="C312" s="26"/>
      <c r="D312" s="26"/>
      <c r="E312" s="26"/>
      <c r="F312" s="26"/>
    </row>
    <row r="313" spans="3:6" ht="12.45">
      <c r="C313" s="26"/>
      <c r="D313" s="26"/>
      <c r="E313" s="26"/>
      <c r="F313" s="26"/>
    </row>
    <row r="314" spans="3:6" ht="12.45">
      <c r="C314" s="26"/>
      <c r="D314" s="26"/>
      <c r="E314" s="26"/>
      <c r="F314" s="26"/>
    </row>
    <row r="315" spans="3:6" ht="12.45">
      <c r="C315" s="26"/>
      <c r="D315" s="26"/>
      <c r="E315" s="26"/>
      <c r="F315" s="26"/>
    </row>
    <row r="316" spans="3:6" ht="12.45">
      <c r="C316" s="26"/>
      <c r="D316" s="26"/>
      <c r="E316" s="26"/>
      <c r="F316" s="26"/>
    </row>
    <row r="317" spans="3:6" ht="12.45">
      <c r="C317" s="26"/>
      <c r="D317" s="26"/>
      <c r="E317" s="26"/>
      <c r="F317" s="26"/>
    </row>
    <row r="318" spans="3:6" ht="12.45">
      <c r="C318" s="26"/>
      <c r="D318" s="26"/>
      <c r="E318" s="26"/>
      <c r="F318" s="26"/>
    </row>
    <row r="319" spans="3:6" ht="12.45">
      <c r="C319" s="26"/>
      <c r="D319" s="26"/>
      <c r="E319" s="26"/>
      <c r="F319" s="26"/>
    </row>
    <row r="320" spans="3:6" ht="12.45">
      <c r="C320" s="26"/>
      <c r="D320" s="26"/>
      <c r="E320" s="26"/>
      <c r="F320" s="26"/>
    </row>
    <row r="321" spans="3:6" ht="12.45">
      <c r="C321" s="26"/>
      <c r="D321" s="26"/>
      <c r="E321" s="26"/>
      <c r="F321" s="26"/>
    </row>
    <row r="322" spans="3:6" ht="12.45">
      <c r="C322" s="26"/>
      <c r="D322" s="26"/>
      <c r="E322" s="26"/>
      <c r="F322" s="26"/>
    </row>
    <row r="323" spans="3:6" ht="12.45">
      <c r="C323" s="26"/>
      <c r="D323" s="26"/>
      <c r="E323" s="26"/>
      <c r="F323" s="26"/>
    </row>
    <row r="324" spans="3:6" ht="12.45">
      <c r="C324" s="26"/>
      <c r="D324" s="26"/>
      <c r="E324" s="26"/>
      <c r="F324" s="26"/>
    </row>
    <row r="325" spans="3:6" ht="12.45">
      <c r="C325" s="26"/>
      <c r="D325" s="26"/>
      <c r="E325" s="26"/>
      <c r="F325" s="26"/>
    </row>
    <row r="326" spans="3:6" ht="12.45">
      <c r="C326" s="26"/>
      <c r="D326" s="26"/>
      <c r="E326" s="26"/>
      <c r="F326" s="26"/>
    </row>
    <row r="327" spans="3:6" ht="12.45">
      <c r="C327" s="26"/>
      <c r="D327" s="26"/>
      <c r="E327" s="26"/>
      <c r="F327" s="26"/>
    </row>
    <row r="328" spans="3:6" ht="12.45">
      <c r="C328" s="26"/>
      <c r="D328" s="26"/>
      <c r="E328" s="26"/>
      <c r="F328" s="26"/>
    </row>
    <row r="329" spans="3:6" ht="12.45">
      <c r="C329" s="26"/>
      <c r="D329" s="26"/>
      <c r="E329" s="26"/>
      <c r="F329" s="26"/>
    </row>
    <row r="330" spans="3:6" ht="12.45">
      <c r="C330" s="26"/>
      <c r="D330" s="26"/>
      <c r="E330" s="26"/>
      <c r="F330" s="26"/>
    </row>
    <row r="331" spans="3:6" ht="12.45">
      <c r="C331" s="26"/>
      <c r="D331" s="26"/>
      <c r="E331" s="26"/>
      <c r="F331" s="26"/>
    </row>
    <row r="332" spans="3:6" ht="12.45">
      <c r="C332" s="26"/>
      <c r="D332" s="26"/>
      <c r="E332" s="26"/>
      <c r="F332" s="26"/>
    </row>
    <row r="333" spans="3:6" ht="12.45">
      <c r="C333" s="26"/>
      <c r="D333" s="26"/>
      <c r="E333" s="26"/>
      <c r="F333" s="26"/>
    </row>
    <row r="334" spans="3:6" ht="12.45">
      <c r="C334" s="26"/>
      <c r="D334" s="26"/>
      <c r="E334" s="26"/>
      <c r="F334" s="26"/>
    </row>
    <row r="335" spans="3:6" ht="12.45">
      <c r="C335" s="26"/>
      <c r="D335" s="26"/>
      <c r="E335" s="26"/>
      <c r="F335" s="26"/>
    </row>
    <row r="336" spans="3:6" ht="12.45">
      <c r="C336" s="26"/>
      <c r="D336" s="26"/>
      <c r="E336" s="26"/>
      <c r="F336" s="26"/>
    </row>
    <row r="337" spans="3:6" ht="12.45">
      <c r="C337" s="26"/>
      <c r="D337" s="26"/>
      <c r="E337" s="26"/>
      <c r="F337" s="26"/>
    </row>
    <row r="338" spans="3:6" ht="12.45">
      <c r="C338" s="26"/>
      <c r="D338" s="26"/>
      <c r="E338" s="26"/>
      <c r="F338" s="26"/>
    </row>
    <row r="339" spans="3:6" ht="12.45">
      <c r="C339" s="26"/>
      <c r="D339" s="26"/>
      <c r="E339" s="26"/>
      <c r="F339" s="26"/>
    </row>
    <row r="340" spans="3:6" ht="12.45">
      <c r="C340" s="26"/>
      <c r="D340" s="26"/>
      <c r="E340" s="26"/>
      <c r="F340" s="26"/>
    </row>
    <row r="341" spans="3:6" ht="12.45">
      <c r="C341" s="26"/>
      <c r="D341" s="26"/>
      <c r="E341" s="26"/>
      <c r="F341" s="26"/>
    </row>
    <row r="342" spans="3:6" ht="12.45">
      <c r="C342" s="26"/>
      <c r="D342" s="26"/>
      <c r="E342" s="26"/>
      <c r="F342" s="26"/>
    </row>
    <row r="343" spans="3:6" ht="12.45">
      <c r="C343" s="26"/>
      <c r="D343" s="26"/>
      <c r="E343" s="26"/>
      <c r="F343" s="26"/>
    </row>
    <row r="344" spans="3:6" ht="12.45">
      <c r="C344" s="26"/>
      <c r="D344" s="26"/>
      <c r="E344" s="26"/>
      <c r="F344" s="26"/>
    </row>
    <row r="345" spans="3:6" ht="12.45">
      <c r="C345" s="26"/>
      <c r="D345" s="26"/>
      <c r="E345" s="26"/>
      <c r="F345" s="26"/>
    </row>
    <row r="346" spans="3:6" ht="12.45">
      <c r="C346" s="26"/>
      <c r="D346" s="26"/>
      <c r="E346" s="26"/>
      <c r="F346" s="26"/>
    </row>
    <row r="347" spans="3:6" ht="12.45">
      <c r="C347" s="26"/>
      <c r="D347" s="26"/>
      <c r="E347" s="26"/>
      <c r="F347" s="26"/>
    </row>
    <row r="348" spans="3:6" ht="12.45">
      <c r="C348" s="26"/>
      <c r="D348" s="26"/>
      <c r="E348" s="26"/>
      <c r="F348" s="26"/>
    </row>
    <row r="349" spans="3:6" ht="12.45">
      <c r="C349" s="26"/>
      <c r="D349" s="26"/>
      <c r="E349" s="26"/>
      <c r="F349" s="26"/>
    </row>
    <row r="350" spans="3:6" ht="12.45">
      <c r="C350" s="26"/>
      <c r="D350" s="26"/>
      <c r="E350" s="26"/>
      <c r="F350" s="26"/>
    </row>
    <row r="351" spans="3:6" ht="12.45">
      <c r="C351" s="26"/>
      <c r="D351" s="26"/>
      <c r="E351" s="26"/>
      <c r="F351" s="26"/>
    </row>
    <row r="352" spans="3:6" ht="12.45">
      <c r="C352" s="26"/>
      <c r="D352" s="26"/>
      <c r="E352" s="26"/>
      <c r="F352" s="26"/>
    </row>
    <row r="353" spans="3:6" ht="12.45">
      <c r="C353" s="26"/>
      <c r="D353" s="26"/>
      <c r="E353" s="26"/>
      <c r="F353" s="26"/>
    </row>
    <row r="354" spans="3:6" ht="12.45">
      <c r="C354" s="26"/>
      <c r="D354" s="26"/>
      <c r="E354" s="26"/>
      <c r="F354" s="26"/>
    </row>
    <row r="355" spans="3:6" ht="12.45">
      <c r="C355" s="26"/>
      <c r="D355" s="26"/>
      <c r="E355" s="26"/>
      <c r="F355" s="26"/>
    </row>
    <row r="356" spans="3:6" ht="12.45">
      <c r="C356" s="26"/>
      <c r="D356" s="26"/>
      <c r="E356" s="26"/>
      <c r="F356" s="26"/>
    </row>
    <row r="357" spans="3:6" ht="12.45">
      <c r="C357" s="26"/>
      <c r="D357" s="26"/>
      <c r="E357" s="26"/>
      <c r="F357" s="26"/>
    </row>
    <row r="358" spans="3:6" ht="12.45">
      <c r="C358" s="26"/>
      <c r="D358" s="26"/>
      <c r="E358" s="26"/>
      <c r="F358" s="26"/>
    </row>
    <row r="359" spans="3:6" ht="12.45">
      <c r="C359" s="26"/>
      <c r="D359" s="26"/>
      <c r="E359" s="26"/>
      <c r="F359" s="26"/>
    </row>
    <row r="360" spans="3:6" ht="12.45">
      <c r="C360" s="26"/>
      <c r="D360" s="26"/>
      <c r="E360" s="26"/>
      <c r="F360" s="26"/>
    </row>
    <row r="361" spans="3:6" ht="12.45">
      <c r="C361" s="26"/>
      <c r="D361" s="26"/>
      <c r="E361" s="26"/>
      <c r="F361" s="26"/>
    </row>
    <row r="362" spans="3:6" ht="12.45">
      <c r="C362" s="26"/>
      <c r="D362" s="26"/>
      <c r="E362" s="26"/>
      <c r="F362" s="26"/>
    </row>
    <row r="363" spans="3:6" ht="12.45">
      <c r="C363" s="26"/>
      <c r="D363" s="26"/>
      <c r="E363" s="26"/>
      <c r="F363" s="26"/>
    </row>
    <row r="364" spans="3:6" ht="12.45">
      <c r="C364" s="26"/>
      <c r="D364" s="26"/>
      <c r="E364" s="26"/>
      <c r="F364" s="26"/>
    </row>
    <row r="365" spans="3:6" ht="12.45">
      <c r="C365" s="26"/>
      <c r="D365" s="26"/>
      <c r="E365" s="26"/>
      <c r="F365" s="26"/>
    </row>
    <row r="366" spans="3:6" ht="12.45">
      <c r="C366" s="26"/>
      <c r="D366" s="26"/>
      <c r="E366" s="26"/>
      <c r="F366" s="26"/>
    </row>
    <row r="367" spans="3:6" ht="12.45">
      <c r="C367" s="26"/>
      <c r="D367" s="26"/>
      <c r="E367" s="26"/>
      <c r="F367" s="26"/>
    </row>
    <row r="368" spans="3:6" ht="12.45">
      <c r="C368" s="26"/>
      <c r="D368" s="26"/>
      <c r="E368" s="26"/>
      <c r="F368" s="26"/>
    </row>
    <row r="369" spans="3:6" ht="12.45">
      <c r="C369" s="26"/>
      <c r="D369" s="26"/>
      <c r="E369" s="26"/>
      <c r="F369" s="26"/>
    </row>
    <row r="370" spans="3:6" ht="12.45">
      <c r="C370" s="26"/>
      <c r="D370" s="26"/>
      <c r="E370" s="26"/>
      <c r="F370" s="26"/>
    </row>
    <row r="371" spans="3:6" ht="12.45">
      <c r="C371" s="26"/>
      <c r="D371" s="26"/>
      <c r="E371" s="26"/>
      <c r="F371" s="26"/>
    </row>
    <row r="372" spans="3:6" ht="12.45">
      <c r="C372" s="26"/>
      <c r="D372" s="26"/>
      <c r="E372" s="26"/>
      <c r="F372" s="26"/>
    </row>
    <row r="373" spans="3:6" ht="12.45">
      <c r="C373" s="26"/>
      <c r="D373" s="26"/>
      <c r="E373" s="26"/>
      <c r="F373" s="26"/>
    </row>
    <row r="374" spans="3:6" ht="12.45">
      <c r="C374" s="26"/>
      <c r="D374" s="26"/>
      <c r="E374" s="26"/>
      <c r="F374" s="26"/>
    </row>
    <row r="375" spans="3:6" ht="12.45">
      <c r="C375" s="26"/>
      <c r="D375" s="26"/>
      <c r="E375" s="26"/>
      <c r="F375" s="26"/>
    </row>
    <row r="376" spans="3:6" ht="12.45">
      <c r="C376" s="26"/>
      <c r="D376" s="26"/>
      <c r="E376" s="26"/>
      <c r="F376" s="26"/>
    </row>
    <row r="377" spans="3:6" ht="12.45">
      <c r="C377" s="26"/>
      <c r="D377" s="26"/>
      <c r="E377" s="26"/>
      <c r="F377" s="26"/>
    </row>
    <row r="378" spans="3:6" ht="12.45">
      <c r="C378" s="26"/>
      <c r="D378" s="26"/>
      <c r="E378" s="26"/>
      <c r="F378" s="26"/>
    </row>
    <row r="379" spans="3:6" ht="12.45">
      <c r="C379" s="26"/>
      <c r="D379" s="26"/>
      <c r="E379" s="26"/>
      <c r="F379" s="26"/>
    </row>
    <row r="380" spans="3:6" ht="12.45">
      <c r="C380" s="26"/>
      <c r="D380" s="26"/>
      <c r="E380" s="26"/>
      <c r="F380" s="26"/>
    </row>
    <row r="381" spans="3:6" ht="12.45">
      <c r="C381" s="26"/>
      <c r="D381" s="26"/>
      <c r="E381" s="26"/>
      <c r="F381" s="26"/>
    </row>
    <row r="382" spans="3:6" ht="12.45">
      <c r="C382" s="26"/>
      <c r="D382" s="26"/>
      <c r="E382" s="26"/>
      <c r="F382" s="26"/>
    </row>
    <row r="383" spans="3:6" ht="12.45">
      <c r="C383" s="26"/>
      <c r="D383" s="26"/>
      <c r="E383" s="26"/>
      <c r="F383" s="26"/>
    </row>
    <row r="384" spans="3:6" ht="12.45">
      <c r="C384" s="26"/>
      <c r="D384" s="26"/>
      <c r="E384" s="26"/>
      <c r="F384" s="26"/>
    </row>
    <row r="385" spans="3:6" ht="12.45">
      <c r="C385" s="26"/>
      <c r="D385" s="26"/>
      <c r="E385" s="26"/>
      <c r="F385" s="26"/>
    </row>
    <row r="386" spans="3:6" ht="12.45">
      <c r="C386" s="26"/>
      <c r="D386" s="26"/>
      <c r="E386" s="26"/>
      <c r="F386" s="26"/>
    </row>
    <row r="387" spans="3:6" ht="12.45">
      <c r="C387" s="26"/>
      <c r="D387" s="26"/>
      <c r="E387" s="26"/>
      <c r="F387" s="26"/>
    </row>
    <row r="388" spans="3:6" ht="12.45">
      <c r="C388" s="26"/>
      <c r="D388" s="26"/>
      <c r="E388" s="26"/>
      <c r="F388" s="26"/>
    </row>
    <row r="389" spans="3:6" ht="12.45">
      <c r="C389" s="26"/>
      <c r="D389" s="26"/>
      <c r="E389" s="26"/>
      <c r="F389" s="26"/>
    </row>
    <row r="390" spans="3:6" ht="12.45">
      <c r="C390" s="26"/>
      <c r="D390" s="26"/>
      <c r="E390" s="26"/>
      <c r="F390" s="26"/>
    </row>
    <row r="391" spans="3:6" ht="12.45">
      <c r="C391" s="26"/>
      <c r="D391" s="26"/>
      <c r="E391" s="26"/>
      <c r="F391" s="26"/>
    </row>
    <row r="392" spans="3:6" ht="12.45">
      <c r="C392" s="26"/>
      <c r="D392" s="26"/>
      <c r="E392" s="26"/>
      <c r="F392" s="26"/>
    </row>
    <row r="393" spans="3:6" ht="12.45">
      <c r="C393" s="26"/>
      <c r="D393" s="26"/>
      <c r="E393" s="26"/>
      <c r="F393" s="26"/>
    </row>
    <row r="394" spans="3:6" ht="12.45">
      <c r="C394" s="26"/>
      <c r="D394" s="26"/>
      <c r="E394" s="26"/>
      <c r="F394" s="26"/>
    </row>
    <row r="395" spans="3:6" ht="12.45">
      <c r="C395" s="26"/>
      <c r="D395" s="26"/>
      <c r="E395" s="26"/>
      <c r="F395" s="26"/>
    </row>
    <row r="396" spans="3:6" ht="12.45">
      <c r="C396" s="26"/>
      <c r="D396" s="26"/>
      <c r="E396" s="26"/>
      <c r="F396" s="26"/>
    </row>
    <row r="397" spans="3:6" ht="12.45">
      <c r="C397" s="26"/>
      <c r="D397" s="26"/>
      <c r="E397" s="26"/>
      <c r="F397" s="26"/>
    </row>
    <row r="398" spans="3:6" ht="12.45">
      <c r="C398" s="26"/>
      <c r="D398" s="26"/>
      <c r="E398" s="26"/>
      <c r="F398" s="26"/>
    </row>
    <row r="399" spans="3:6" ht="12.45">
      <c r="C399" s="26"/>
      <c r="D399" s="26"/>
      <c r="E399" s="26"/>
      <c r="F399" s="26"/>
    </row>
    <row r="400" spans="3:6" ht="12.45">
      <c r="C400" s="26"/>
      <c r="D400" s="26"/>
      <c r="E400" s="26"/>
      <c r="F400" s="26"/>
    </row>
    <row r="401" spans="3:6" ht="12.45">
      <c r="C401" s="26"/>
      <c r="D401" s="26"/>
      <c r="E401" s="26"/>
      <c r="F401" s="26"/>
    </row>
    <row r="402" spans="3:6" ht="12.45">
      <c r="C402" s="26"/>
      <c r="D402" s="26"/>
      <c r="E402" s="26"/>
      <c r="F402" s="26"/>
    </row>
    <row r="403" spans="3:6" ht="12.45">
      <c r="C403" s="26"/>
      <c r="D403" s="26"/>
      <c r="E403" s="26"/>
      <c r="F403" s="26"/>
    </row>
    <row r="404" spans="3:6" ht="12.45">
      <c r="C404" s="26"/>
      <c r="D404" s="26"/>
      <c r="E404" s="26"/>
      <c r="F404" s="26"/>
    </row>
    <row r="405" spans="3:6" ht="12.45">
      <c r="C405" s="26"/>
      <c r="D405" s="26"/>
      <c r="E405" s="26"/>
      <c r="F405" s="26"/>
    </row>
    <row r="406" spans="3:6" ht="12.45">
      <c r="C406" s="26"/>
      <c r="D406" s="26"/>
      <c r="E406" s="26"/>
      <c r="F406" s="26"/>
    </row>
    <row r="407" spans="3:6" ht="12.45">
      <c r="C407" s="26"/>
      <c r="D407" s="26"/>
      <c r="E407" s="26"/>
      <c r="F407" s="26"/>
    </row>
    <row r="408" spans="3:6" ht="12.45">
      <c r="C408" s="26"/>
      <c r="D408" s="26"/>
      <c r="E408" s="26"/>
      <c r="F408" s="26"/>
    </row>
    <row r="409" spans="3:6" ht="12.45">
      <c r="C409" s="26"/>
      <c r="D409" s="26"/>
      <c r="E409" s="26"/>
      <c r="F409" s="26"/>
    </row>
    <row r="410" spans="3:6" ht="12.45">
      <c r="C410" s="26"/>
      <c r="D410" s="26"/>
      <c r="E410" s="26"/>
      <c r="F410" s="26"/>
    </row>
    <row r="411" spans="3:6" ht="12.45">
      <c r="C411" s="26"/>
      <c r="D411" s="26"/>
      <c r="E411" s="26"/>
      <c r="F411" s="26"/>
    </row>
    <row r="412" spans="3:6" ht="12.45">
      <c r="C412" s="26"/>
      <c r="D412" s="26"/>
      <c r="E412" s="26"/>
      <c r="F412" s="26"/>
    </row>
    <row r="413" spans="3:6" ht="12.45">
      <c r="C413" s="26"/>
      <c r="D413" s="26"/>
      <c r="E413" s="26"/>
      <c r="F413" s="26"/>
    </row>
    <row r="414" spans="3:6" ht="12.45">
      <c r="C414" s="26"/>
      <c r="D414" s="26"/>
      <c r="E414" s="26"/>
      <c r="F414" s="26"/>
    </row>
    <row r="415" spans="3:6" ht="12.45">
      <c r="C415" s="26"/>
      <c r="D415" s="26"/>
      <c r="E415" s="26"/>
      <c r="F415" s="26"/>
    </row>
    <row r="416" spans="3:6" ht="12.45">
      <c r="C416" s="26"/>
      <c r="D416" s="26"/>
      <c r="E416" s="26"/>
      <c r="F416" s="26"/>
    </row>
    <row r="417" spans="3:6" ht="12.45">
      <c r="C417" s="26"/>
      <c r="D417" s="26"/>
      <c r="E417" s="26"/>
      <c r="F417" s="26"/>
    </row>
    <row r="418" spans="3:6" ht="12.45">
      <c r="C418" s="26"/>
      <c r="D418" s="26"/>
      <c r="E418" s="26"/>
      <c r="F418" s="26"/>
    </row>
    <row r="419" spans="3:6" ht="12.45">
      <c r="C419" s="26"/>
      <c r="D419" s="26"/>
      <c r="E419" s="26"/>
      <c r="F419" s="26"/>
    </row>
    <row r="420" spans="3:6" ht="12.45">
      <c r="C420" s="26"/>
      <c r="D420" s="26"/>
      <c r="E420" s="26"/>
      <c r="F420" s="26"/>
    </row>
    <row r="421" spans="3:6" ht="12.45">
      <c r="C421" s="26"/>
      <c r="D421" s="26"/>
      <c r="E421" s="26"/>
      <c r="F421" s="26"/>
    </row>
    <row r="422" spans="3:6" ht="12.45">
      <c r="C422" s="26"/>
      <c r="D422" s="26"/>
      <c r="E422" s="26"/>
      <c r="F422" s="26"/>
    </row>
    <row r="423" spans="3:6" ht="12.45">
      <c r="C423" s="26"/>
      <c r="D423" s="26"/>
      <c r="E423" s="26"/>
      <c r="F423" s="26"/>
    </row>
    <row r="424" spans="3:6" ht="12.45">
      <c r="C424" s="26"/>
      <c r="D424" s="26"/>
      <c r="E424" s="26"/>
      <c r="F424" s="26"/>
    </row>
    <row r="425" spans="3:6" ht="12.45">
      <c r="C425" s="26"/>
      <c r="D425" s="26"/>
      <c r="E425" s="26"/>
      <c r="F425" s="26"/>
    </row>
    <row r="426" spans="3:6" ht="12.45">
      <c r="C426" s="26"/>
      <c r="D426" s="26"/>
      <c r="E426" s="26"/>
      <c r="F426" s="26"/>
    </row>
    <row r="427" spans="3:6" ht="12.45">
      <c r="C427" s="26"/>
      <c r="D427" s="26"/>
      <c r="E427" s="26"/>
      <c r="F427" s="26"/>
    </row>
    <row r="428" spans="3:6" ht="12.45">
      <c r="C428" s="26"/>
      <c r="D428" s="26"/>
      <c r="E428" s="26"/>
      <c r="F428" s="26"/>
    </row>
    <row r="429" spans="3:6" ht="12.45">
      <c r="C429" s="26"/>
      <c r="D429" s="26"/>
      <c r="E429" s="26"/>
      <c r="F429" s="26"/>
    </row>
    <row r="430" spans="3:6" ht="12.45">
      <c r="C430" s="26"/>
      <c r="D430" s="26"/>
      <c r="E430" s="26"/>
      <c r="F430" s="26"/>
    </row>
    <row r="431" spans="3:6" ht="12.45">
      <c r="C431" s="26"/>
      <c r="D431" s="26"/>
      <c r="E431" s="26"/>
      <c r="F431" s="26"/>
    </row>
    <row r="432" spans="3:6" ht="12.45">
      <c r="C432" s="26"/>
      <c r="D432" s="26"/>
      <c r="E432" s="26"/>
      <c r="F432" s="26"/>
    </row>
    <row r="433" spans="3:6" ht="12.45">
      <c r="C433" s="26"/>
      <c r="D433" s="26"/>
      <c r="E433" s="26"/>
      <c r="F433" s="26"/>
    </row>
    <row r="434" spans="3:6" ht="12.45">
      <c r="C434" s="26"/>
      <c r="D434" s="26"/>
      <c r="E434" s="26"/>
      <c r="F434" s="26"/>
    </row>
    <row r="435" spans="3:6" ht="12.45">
      <c r="C435" s="26"/>
      <c r="D435" s="26"/>
      <c r="E435" s="26"/>
      <c r="F435" s="26"/>
    </row>
    <row r="436" spans="3:6" ht="12.45">
      <c r="C436" s="26"/>
      <c r="D436" s="26"/>
      <c r="E436" s="26"/>
      <c r="F436" s="26"/>
    </row>
    <row r="437" spans="3:6" ht="12.45">
      <c r="C437" s="26"/>
      <c r="D437" s="26"/>
      <c r="E437" s="26"/>
      <c r="F437" s="26"/>
    </row>
    <row r="438" spans="3:6" ht="12.45">
      <c r="C438" s="26"/>
      <c r="D438" s="26"/>
      <c r="E438" s="26"/>
      <c r="F438" s="26"/>
    </row>
    <row r="439" spans="3:6" ht="12.45">
      <c r="C439" s="26"/>
      <c r="D439" s="26"/>
      <c r="E439" s="26"/>
      <c r="F439" s="26"/>
    </row>
    <row r="440" spans="3:6" ht="12.45">
      <c r="C440" s="26"/>
      <c r="D440" s="26"/>
      <c r="E440" s="26"/>
      <c r="F440" s="26"/>
    </row>
    <row r="441" spans="3:6" ht="12.45">
      <c r="C441" s="26"/>
      <c r="D441" s="26"/>
      <c r="E441" s="26"/>
      <c r="F441" s="26"/>
    </row>
    <row r="442" spans="3:6" ht="12.45">
      <c r="C442" s="26"/>
      <c r="D442" s="26"/>
      <c r="E442" s="26"/>
      <c r="F442" s="26"/>
    </row>
    <row r="443" spans="3:6" ht="12.45">
      <c r="C443" s="26"/>
      <c r="D443" s="26"/>
      <c r="E443" s="26"/>
      <c r="F443" s="26"/>
    </row>
    <row r="444" spans="3:6" ht="12.45">
      <c r="C444" s="26"/>
      <c r="D444" s="26"/>
      <c r="E444" s="26"/>
      <c r="F444" s="26"/>
    </row>
    <row r="445" spans="3:6" ht="12.45">
      <c r="C445" s="26"/>
      <c r="D445" s="26"/>
      <c r="E445" s="26"/>
      <c r="F445" s="26"/>
    </row>
    <row r="446" spans="3:6" ht="12.45">
      <c r="C446" s="26"/>
      <c r="D446" s="26"/>
      <c r="E446" s="26"/>
      <c r="F446" s="26"/>
    </row>
    <row r="447" spans="3:6" ht="12.45">
      <c r="C447" s="26"/>
      <c r="D447" s="26"/>
      <c r="E447" s="26"/>
      <c r="F447" s="26"/>
    </row>
    <row r="448" spans="3:6" ht="12.45">
      <c r="C448" s="26"/>
      <c r="D448" s="26"/>
      <c r="E448" s="26"/>
      <c r="F448" s="26"/>
    </row>
    <row r="449" spans="3:6" ht="12.45">
      <c r="C449" s="26"/>
      <c r="D449" s="26"/>
      <c r="E449" s="26"/>
      <c r="F449" s="26"/>
    </row>
    <row r="450" spans="3:6" ht="12.45">
      <c r="C450" s="26"/>
      <c r="D450" s="26"/>
      <c r="E450" s="26"/>
      <c r="F450" s="26"/>
    </row>
    <row r="451" spans="3:6" ht="12.45">
      <c r="C451" s="26"/>
      <c r="D451" s="26"/>
      <c r="E451" s="26"/>
      <c r="F451" s="26"/>
    </row>
    <row r="452" spans="3:6" ht="12.45">
      <c r="C452" s="26"/>
      <c r="D452" s="26"/>
      <c r="E452" s="26"/>
      <c r="F452" s="26"/>
    </row>
    <row r="453" spans="3:6" ht="12.45">
      <c r="C453" s="26"/>
      <c r="D453" s="26"/>
      <c r="E453" s="26"/>
      <c r="F453" s="26"/>
    </row>
    <row r="454" spans="3:6" ht="12.45">
      <c r="C454" s="26"/>
      <c r="D454" s="26"/>
      <c r="E454" s="26"/>
      <c r="F454" s="26"/>
    </row>
    <row r="455" spans="3:6" ht="12.45">
      <c r="C455" s="26"/>
      <c r="D455" s="26"/>
      <c r="E455" s="26"/>
      <c r="F455" s="26"/>
    </row>
    <row r="456" spans="3:6" ht="12.45">
      <c r="C456" s="26"/>
      <c r="D456" s="26"/>
      <c r="E456" s="26"/>
      <c r="F456" s="26"/>
    </row>
    <row r="457" spans="3:6" ht="12.45">
      <c r="C457" s="26"/>
      <c r="D457" s="26"/>
      <c r="E457" s="26"/>
      <c r="F457" s="26"/>
    </row>
    <row r="458" spans="3:6" ht="12.45">
      <c r="C458" s="26"/>
      <c r="D458" s="26"/>
      <c r="E458" s="26"/>
      <c r="F458" s="26"/>
    </row>
    <row r="459" spans="3:6" ht="12.45">
      <c r="C459" s="26"/>
      <c r="D459" s="26"/>
      <c r="E459" s="26"/>
      <c r="F459" s="26"/>
    </row>
    <row r="460" spans="3:6" ht="12.45">
      <c r="C460" s="26"/>
      <c r="D460" s="26"/>
      <c r="E460" s="26"/>
      <c r="F460" s="26"/>
    </row>
    <row r="461" spans="3:6" ht="12.45">
      <c r="C461" s="26"/>
      <c r="D461" s="26"/>
      <c r="E461" s="26"/>
      <c r="F461" s="26"/>
    </row>
    <row r="462" spans="3:6" ht="12.45">
      <c r="C462" s="26"/>
      <c r="D462" s="26"/>
      <c r="E462" s="26"/>
      <c r="F462" s="26"/>
    </row>
    <row r="463" spans="3:6" ht="12.45">
      <c r="C463" s="26"/>
      <c r="D463" s="26"/>
      <c r="E463" s="26"/>
      <c r="F463" s="26"/>
    </row>
    <row r="464" spans="3:6" ht="12.45">
      <c r="C464" s="26"/>
      <c r="D464" s="26"/>
      <c r="E464" s="26"/>
      <c r="F464" s="26"/>
    </row>
    <row r="465" spans="3:6" ht="12.45">
      <c r="C465" s="26"/>
      <c r="D465" s="26"/>
      <c r="E465" s="26"/>
      <c r="F465" s="26"/>
    </row>
    <row r="466" spans="3:6" ht="12.45">
      <c r="C466" s="26"/>
      <c r="D466" s="26"/>
      <c r="E466" s="26"/>
      <c r="F466" s="26"/>
    </row>
    <row r="467" spans="3:6" ht="12.45">
      <c r="C467" s="26"/>
      <c r="D467" s="26"/>
      <c r="E467" s="26"/>
      <c r="F467" s="26"/>
    </row>
    <row r="468" spans="3:6" ht="12.45">
      <c r="C468" s="26"/>
      <c r="D468" s="26"/>
      <c r="E468" s="26"/>
      <c r="F468" s="26"/>
    </row>
    <row r="469" spans="3:6" ht="12.45">
      <c r="C469" s="26"/>
      <c r="D469" s="26"/>
      <c r="E469" s="26"/>
      <c r="F469" s="26"/>
    </row>
    <row r="470" spans="3:6" ht="12.45">
      <c r="C470" s="26"/>
      <c r="D470" s="26"/>
      <c r="E470" s="26"/>
      <c r="F470" s="26"/>
    </row>
    <row r="471" spans="3:6" ht="12.45">
      <c r="C471" s="26"/>
      <c r="D471" s="26"/>
      <c r="E471" s="26"/>
      <c r="F471" s="26"/>
    </row>
    <row r="472" spans="3:6" ht="12.45">
      <c r="C472" s="26"/>
      <c r="D472" s="26"/>
      <c r="E472" s="26"/>
      <c r="F472" s="26"/>
    </row>
    <row r="473" spans="3:6" ht="12.45">
      <c r="C473" s="26"/>
      <c r="D473" s="26"/>
      <c r="E473" s="26"/>
      <c r="F473" s="26"/>
    </row>
    <row r="474" spans="3:6" ht="12.45">
      <c r="C474" s="26"/>
      <c r="D474" s="26"/>
      <c r="E474" s="26"/>
      <c r="F474" s="26"/>
    </row>
    <row r="475" spans="3:6" ht="12.45">
      <c r="C475" s="26"/>
      <c r="D475" s="26"/>
      <c r="E475" s="26"/>
      <c r="F475" s="26"/>
    </row>
    <row r="476" spans="3:6" ht="12.45">
      <c r="C476" s="26"/>
      <c r="D476" s="26"/>
      <c r="E476" s="26"/>
      <c r="F476" s="26"/>
    </row>
    <row r="477" spans="3:6" ht="12.45">
      <c r="C477" s="26"/>
      <c r="D477" s="26"/>
      <c r="E477" s="26"/>
      <c r="F477" s="26"/>
    </row>
    <row r="478" spans="3:6" ht="12.45">
      <c r="C478" s="26"/>
      <c r="D478" s="26"/>
      <c r="E478" s="26"/>
      <c r="F478" s="26"/>
    </row>
    <row r="479" spans="3:6" ht="12.45">
      <c r="C479" s="26"/>
      <c r="D479" s="26"/>
      <c r="E479" s="26"/>
      <c r="F479" s="26"/>
    </row>
    <row r="480" spans="3:6" ht="12.45">
      <c r="C480" s="26"/>
      <c r="D480" s="26"/>
      <c r="E480" s="26"/>
      <c r="F480" s="26"/>
    </row>
    <row r="481" spans="3:6" ht="12.45">
      <c r="C481" s="26"/>
      <c r="D481" s="26"/>
      <c r="E481" s="26"/>
      <c r="F481" s="26"/>
    </row>
    <row r="482" spans="3:6" ht="12.45">
      <c r="C482" s="26"/>
      <c r="D482" s="26"/>
      <c r="E482" s="26"/>
      <c r="F482" s="26"/>
    </row>
    <row r="483" spans="3:6" ht="12.45">
      <c r="C483" s="26"/>
      <c r="D483" s="26"/>
      <c r="E483" s="26"/>
      <c r="F483" s="26"/>
    </row>
    <row r="484" spans="3:6" ht="12.45">
      <c r="C484" s="26"/>
      <c r="D484" s="26"/>
      <c r="E484" s="26"/>
      <c r="F484" s="26"/>
    </row>
    <row r="485" spans="3:6" ht="12.45">
      <c r="C485" s="26"/>
      <c r="D485" s="26"/>
      <c r="E485" s="26"/>
      <c r="F485" s="26"/>
    </row>
    <row r="486" spans="3:6" ht="12.45">
      <c r="C486" s="26"/>
      <c r="D486" s="26"/>
      <c r="E486" s="26"/>
      <c r="F486" s="26"/>
    </row>
    <row r="487" spans="3:6" ht="12.45">
      <c r="C487" s="26"/>
      <c r="D487" s="26"/>
      <c r="E487" s="26"/>
      <c r="F487" s="26"/>
    </row>
    <row r="488" spans="3:6" ht="12.45">
      <c r="C488" s="26"/>
      <c r="D488" s="26"/>
      <c r="E488" s="26"/>
      <c r="F488" s="26"/>
    </row>
    <row r="489" spans="3:6" ht="12.45">
      <c r="C489" s="26"/>
      <c r="D489" s="26"/>
      <c r="E489" s="26"/>
      <c r="F489" s="26"/>
    </row>
    <row r="490" spans="3:6" ht="12.45">
      <c r="C490" s="26"/>
      <c r="D490" s="26"/>
      <c r="E490" s="26"/>
      <c r="F490" s="26"/>
    </row>
    <row r="491" spans="3:6" ht="12.45">
      <c r="C491" s="26"/>
      <c r="D491" s="26"/>
      <c r="E491" s="26"/>
      <c r="F491" s="26"/>
    </row>
    <row r="492" spans="3:6" ht="12.45">
      <c r="C492" s="26"/>
      <c r="D492" s="26"/>
      <c r="E492" s="26"/>
      <c r="F492" s="26"/>
    </row>
    <row r="493" spans="3:6" ht="12.45">
      <c r="C493" s="26"/>
      <c r="D493" s="26"/>
      <c r="E493" s="26"/>
      <c r="F493" s="26"/>
    </row>
    <row r="494" spans="3:6" ht="12.45">
      <c r="C494" s="26"/>
      <c r="D494" s="26"/>
      <c r="E494" s="26"/>
      <c r="F494" s="26"/>
    </row>
    <row r="495" spans="3:6" ht="12.45">
      <c r="C495" s="26"/>
      <c r="D495" s="26"/>
      <c r="E495" s="26"/>
      <c r="F495" s="26"/>
    </row>
    <row r="496" spans="3:6" ht="12.45">
      <c r="C496" s="26"/>
      <c r="D496" s="26"/>
      <c r="E496" s="26"/>
      <c r="F496" s="26"/>
    </row>
    <row r="497" spans="3:6" ht="12.45">
      <c r="C497" s="26"/>
      <c r="D497" s="26"/>
      <c r="E497" s="26"/>
      <c r="F497" s="26"/>
    </row>
    <row r="498" spans="3:6" ht="12.45">
      <c r="C498" s="26"/>
      <c r="D498" s="26"/>
      <c r="E498" s="26"/>
      <c r="F498" s="26"/>
    </row>
    <row r="499" spans="3:6" ht="12.45">
      <c r="C499" s="26"/>
      <c r="D499" s="26"/>
      <c r="E499" s="26"/>
      <c r="F499" s="26"/>
    </row>
    <row r="500" spans="3:6" ht="12.45">
      <c r="C500" s="26"/>
      <c r="D500" s="26"/>
      <c r="E500" s="26"/>
      <c r="F500" s="26"/>
    </row>
    <row r="501" spans="3:6" ht="12.45">
      <c r="C501" s="26"/>
      <c r="D501" s="26"/>
      <c r="E501" s="26"/>
      <c r="F501" s="26"/>
    </row>
    <row r="502" spans="3:6" ht="12.45">
      <c r="C502" s="26"/>
      <c r="D502" s="26"/>
      <c r="E502" s="26"/>
      <c r="F502" s="26"/>
    </row>
    <row r="503" spans="3:6" ht="12.45">
      <c r="C503" s="26"/>
      <c r="D503" s="26"/>
      <c r="E503" s="26"/>
      <c r="F503" s="26"/>
    </row>
    <row r="504" spans="3:6" ht="12.45">
      <c r="C504" s="26"/>
      <c r="D504" s="26"/>
      <c r="E504" s="26"/>
      <c r="F504" s="26"/>
    </row>
    <row r="505" spans="3:6" ht="12.45">
      <c r="C505" s="26"/>
      <c r="D505" s="26"/>
      <c r="E505" s="26"/>
      <c r="F505" s="26"/>
    </row>
    <row r="506" spans="3:6" ht="12.45">
      <c r="C506" s="26"/>
      <c r="D506" s="26"/>
      <c r="E506" s="26"/>
      <c r="F506" s="26"/>
    </row>
    <row r="507" spans="3:6" ht="12.45">
      <c r="C507" s="26"/>
      <c r="D507" s="26"/>
      <c r="E507" s="26"/>
      <c r="F507" s="26"/>
    </row>
    <row r="508" spans="3:6" ht="12.45">
      <c r="C508" s="26"/>
      <c r="D508" s="26"/>
      <c r="E508" s="26"/>
      <c r="F508" s="26"/>
    </row>
    <row r="509" spans="3:6" ht="12.45">
      <c r="C509" s="26"/>
      <c r="D509" s="26"/>
      <c r="E509" s="26"/>
      <c r="F509" s="26"/>
    </row>
    <row r="510" spans="3:6" ht="12.45">
      <c r="C510" s="26"/>
      <c r="D510" s="26"/>
      <c r="E510" s="26"/>
      <c r="F510" s="26"/>
    </row>
    <row r="511" spans="3:6" ht="12.45">
      <c r="C511" s="26"/>
      <c r="D511" s="26"/>
      <c r="E511" s="26"/>
      <c r="F511" s="26"/>
    </row>
    <row r="512" spans="3:6" ht="12.45">
      <c r="C512" s="26"/>
      <c r="D512" s="26"/>
      <c r="E512" s="26"/>
      <c r="F512" s="26"/>
    </row>
    <row r="513" spans="3:6" ht="12.45">
      <c r="C513" s="26"/>
      <c r="D513" s="26"/>
      <c r="E513" s="26"/>
      <c r="F513" s="26"/>
    </row>
    <row r="514" spans="3:6" ht="12.45">
      <c r="C514" s="26"/>
      <c r="D514" s="26"/>
      <c r="E514" s="26"/>
      <c r="F514" s="26"/>
    </row>
    <row r="515" spans="3:6" ht="12.45">
      <c r="C515" s="26"/>
      <c r="D515" s="26"/>
      <c r="E515" s="26"/>
      <c r="F515" s="26"/>
    </row>
    <row r="516" spans="3:6" ht="12.45">
      <c r="C516" s="26"/>
      <c r="D516" s="26"/>
      <c r="E516" s="26"/>
      <c r="F516" s="26"/>
    </row>
    <row r="517" spans="3:6" ht="12.45">
      <c r="C517" s="26"/>
      <c r="D517" s="26"/>
      <c r="E517" s="26"/>
      <c r="F517" s="26"/>
    </row>
    <row r="518" spans="3:6" ht="12.45">
      <c r="C518" s="26"/>
      <c r="D518" s="26"/>
      <c r="E518" s="26"/>
      <c r="F518" s="26"/>
    </row>
    <row r="519" spans="3:6" ht="12.45">
      <c r="C519" s="26"/>
      <c r="D519" s="26"/>
      <c r="E519" s="26"/>
      <c r="F519" s="26"/>
    </row>
    <row r="520" spans="3:6" ht="12.45">
      <c r="C520" s="26"/>
      <c r="D520" s="26"/>
      <c r="E520" s="26"/>
      <c r="F520" s="26"/>
    </row>
    <row r="521" spans="3:6" ht="12.45">
      <c r="C521" s="26"/>
      <c r="D521" s="26"/>
      <c r="E521" s="26"/>
      <c r="F521" s="26"/>
    </row>
    <row r="522" spans="3:6" ht="12.45">
      <c r="C522" s="26"/>
      <c r="D522" s="26"/>
      <c r="E522" s="26"/>
      <c r="F522" s="26"/>
    </row>
    <row r="523" spans="3:6" ht="12.45">
      <c r="C523" s="26"/>
      <c r="D523" s="26"/>
      <c r="E523" s="26"/>
      <c r="F523" s="26"/>
    </row>
    <row r="524" spans="3:6" ht="12.45">
      <c r="C524" s="26"/>
      <c r="D524" s="26"/>
      <c r="E524" s="26"/>
      <c r="F524" s="26"/>
    </row>
    <row r="525" spans="3:6" ht="12.45">
      <c r="C525" s="26"/>
      <c r="D525" s="26"/>
      <c r="E525" s="26"/>
      <c r="F525" s="26"/>
    </row>
    <row r="526" spans="3:6" ht="12.45">
      <c r="C526" s="26"/>
      <c r="D526" s="26"/>
      <c r="E526" s="26"/>
      <c r="F526" s="26"/>
    </row>
    <row r="527" spans="3:6" ht="12.45">
      <c r="C527" s="26"/>
      <c r="D527" s="26"/>
      <c r="E527" s="26"/>
      <c r="F527" s="26"/>
    </row>
    <row r="528" spans="3:6" ht="12.45">
      <c r="C528" s="26"/>
      <c r="D528" s="26"/>
      <c r="E528" s="26"/>
      <c r="F528" s="26"/>
    </row>
    <row r="529" spans="3:6" ht="12.45">
      <c r="C529" s="26"/>
      <c r="D529" s="26"/>
      <c r="E529" s="26"/>
      <c r="F529" s="26"/>
    </row>
    <row r="530" spans="3:6" ht="12.45">
      <c r="C530" s="26"/>
      <c r="D530" s="26"/>
      <c r="E530" s="26"/>
      <c r="F530" s="26"/>
    </row>
    <row r="531" spans="3:6" ht="12.45">
      <c r="C531" s="26"/>
      <c r="D531" s="26"/>
      <c r="E531" s="26"/>
      <c r="F531" s="26"/>
    </row>
    <row r="532" spans="3:6" ht="12.45">
      <c r="C532" s="26"/>
      <c r="D532" s="26"/>
      <c r="E532" s="26"/>
      <c r="F532" s="26"/>
    </row>
    <row r="533" spans="3:6" ht="12.45">
      <c r="C533" s="26"/>
      <c r="D533" s="26"/>
      <c r="E533" s="26"/>
      <c r="F533" s="26"/>
    </row>
    <row r="534" spans="3:6" ht="12.45">
      <c r="C534" s="26"/>
      <c r="D534" s="26"/>
      <c r="E534" s="26"/>
      <c r="F534" s="26"/>
    </row>
    <row r="535" spans="3:6" ht="12.45">
      <c r="C535" s="26"/>
      <c r="D535" s="26"/>
      <c r="E535" s="26"/>
      <c r="F535" s="26"/>
    </row>
    <row r="536" spans="3:6" ht="12.45">
      <c r="C536" s="26"/>
      <c r="D536" s="26"/>
      <c r="E536" s="26"/>
      <c r="F536" s="26"/>
    </row>
    <row r="537" spans="3:6" ht="12.45">
      <c r="C537" s="26"/>
      <c r="D537" s="26"/>
      <c r="E537" s="26"/>
      <c r="F537" s="26"/>
    </row>
    <row r="538" spans="3:6" ht="12.45">
      <c r="C538" s="26"/>
      <c r="D538" s="26"/>
      <c r="E538" s="26"/>
      <c r="F538" s="26"/>
    </row>
    <row r="539" spans="3:6" ht="12.45">
      <c r="C539" s="26"/>
      <c r="D539" s="26"/>
      <c r="E539" s="26"/>
      <c r="F539" s="26"/>
    </row>
    <row r="540" spans="3:6" ht="12.45">
      <c r="C540" s="26"/>
      <c r="D540" s="26"/>
      <c r="E540" s="26"/>
      <c r="F540" s="26"/>
    </row>
    <row r="541" spans="3:6" ht="12.45">
      <c r="C541" s="26"/>
      <c r="D541" s="26"/>
      <c r="E541" s="26"/>
      <c r="F541" s="26"/>
    </row>
    <row r="542" spans="3:6" ht="12.45">
      <c r="C542" s="26"/>
      <c r="D542" s="26"/>
      <c r="E542" s="26"/>
      <c r="F542" s="26"/>
    </row>
    <row r="543" spans="3:6" ht="12.45">
      <c r="C543" s="26"/>
      <c r="D543" s="26"/>
      <c r="E543" s="26"/>
      <c r="F543" s="26"/>
    </row>
    <row r="544" spans="3:6" ht="12.45">
      <c r="C544" s="26"/>
      <c r="D544" s="26"/>
      <c r="E544" s="26"/>
      <c r="F544" s="26"/>
    </row>
    <row r="545" spans="3:6" ht="12.45">
      <c r="C545" s="26"/>
      <c r="D545" s="26"/>
      <c r="E545" s="26"/>
      <c r="F545" s="26"/>
    </row>
    <row r="546" spans="3:6" ht="12.45">
      <c r="C546" s="26"/>
      <c r="D546" s="26"/>
      <c r="E546" s="26"/>
      <c r="F546" s="26"/>
    </row>
    <row r="547" spans="3:6" ht="12.45">
      <c r="C547" s="26"/>
      <c r="D547" s="26"/>
      <c r="E547" s="26"/>
      <c r="F547" s="26"/>
    </row>
    <row r="548" spans="3:6" ht="12.45">
      <c r="C548" s="26"/>
      <c r="D548" s="26"/>
      <c r="E548" s="26"/>
      <c r="F548" s="26"/>
    </row>
    <row r="549" spans="3:6" ht="12.45">
      <c r="C549" s="26"/>
      <c r="D549" s="26"/>
      <c r="E549" s="26"/>
      <c r="F549" s="26"/>
    </row>
    <row r="550" spans="3:6" ht="12.45">
      <c r="C550" s="26"/>
      <c r="D550" s="26"/>
      <c r="E550" s="26"/>
      <c r="F550" s="26"/>
    </row>
    <row r="551" spans="3:6" ht="12.45">
      <c r="C551" s="26"/>
      <c r="D551" s="26"/>
      <c r="E551" s="26"/>
      <c r="F551" s="26"/>
    </row>
    <row r="552" spans="3:6" ht="12.45">
      <c r="C552" s="26"/>
      <c r="D552" s="26"/>
      <c r="E552" s="26"/>
      <c r="F552" s="26"/>
    </row>
    <row r="553" spans="3:6" ht="12.45">
      <c r="C553" s="26"/>
      <c r="D553" s="26"/>
      <c r="E553" s="26"/>
      <c r="F553" s="26"/>
    </row>
    <row r="554" spans="3:6" ht="12.45">
      <c r="C554" s="26"/>
      <c r="D554" s="26"/>
      <c r="E554" s="26"/>
      <c r="F554" s="26"/>
    </row>
    <row r="555" spans="3:6" ht="12.45">
      <c r="C555" s="26"/>
      <c r="D555" s="26"/>
      <c r="E555" s="26"/>
      <c r="F555" s="26"/>
    </row>
    <row r="556" spans="3:6" ht="12.45">
      <c r="C556" s="26"/>
      <c r="D556" s="26"/>
      <c r="E556" s="26"/>
      <c r="F556" s="26"/>
    </row>
    <row r="557" spans="3:6" ht="12.45">
      <c r="C557" s="26"/>
      <c r="D557" s="26"/>
      <c r="E557" s="26"/>
      <c r="F557" s="26"/>
    </row>
    <row r="558" spans="3:6" ht="12.45">
      <c r="C558" s="26"/>
      <c r="D558" s="26"/>
      <c r="E558" s="26"/>
      <c r="F558" s="26"/>
    </row>
    <row r="559" spans="3:6" ht="12.45">
      <c r="C559" s="26"/>
      <c r="D559" s="26"/>
      <c r="E559" s="26"/>
      <c r="F559" s="26"/>
    </row>
    <row r="560" spans="3:6" ht="12.45">
      <c r="C560" s="26"/>
      <c r="D560" s="26"/>
      <c r="E560" s="26"/>
      <c r="F560" s="26"/>
    </row>
    <row r="561" spans="3:6" ht="12.45">
      <c r="C561" s="26"/>
      <c r="D561" s="26"/>
      <c r="E561" s="26"/>
      <c r="F561" s="26"/>
    </row>
    <row r="562" spans="3:6" ht="12.45">
      <c r="C562" s="26"/>
      <c r="D562" s="26"/>
      <c r="E562" s="26"/>
      <c r="F562" s="26"/>
    </row>
    <row r="563" spans="3:6" ht="12.45">
      <c r="C563" s="26"/>
      <c r="D563" s="26"/>
      <c r="E563" s="26"/>
      <c r="F563" s="26"/>
    </row>
    <row r="564" spans="3:6" ht="12.45">
      <c r="C564" s="26"/>
      <c r="D564" s="26"/>
      <c r="E564" s="26"/>
      <c r="F564" s="26"/>
    </row>
    <row r="565" spans="3:6" ht="12.45">
      <c r="C565" s="26"/>
      <c r="D565" s="26"/>
      <c r="E565" s="26"/>
      <c r="F565" s="26"/>
    </row>
    <row r="566" spans="3:6" ht="12.45">
      <c r="C566" s="26"/>
      <c r="D566" s="26"/>
      <c r="E566" s="26"/>
      <c r="F566" s="26"/>
    </row>
    <row r="567" spans="3:6" ht="12.45">
      <c r="C567" s="26"/>
      <c r="D567" s="26"/>
      <c r="E567" s="26"/>
      <c r="F567" s="26"/>
    </row>
    <row r="568" spans="3:6" ht="12.45">
      <c r="C568" s="26"/>
      <c r="D568" s="26"/>
      <c r="E568" s="26"/>
      <c r="F568" s="26"/>
    </row>
    <row r="569" spans="3:6" ht="12.45">
      <c r="C569" s="26"/>
      <c r="D569" s="26"/>
      <c r="E569" s="26"/>
      <c r="F569" s="26"/>
    </row>
    <row r="570" spans="3:6" ht="12.45">
      <c r="C570" s="26"/>
      <c r="D570" s="26"/>
      <c r="E570" s="26"/>
      <c r="F570" s="26"/>
    </row>
    <row r="571" spans="3:6" ht="12.45">
      <c r="C571" s="26"/>
      <c r="D571" s="26"/>
      <c r="E571" s="26"/>
      <c r="F571" s="26"/>
    </row>
    <row r="572" spans="3:6" ht="12.45">
      <c r="C572" s="26"/>
      <c r="D572" s="26"/>
      <c r="E572" s="26"/>
      <c r="F572" s="26"/>
    </row>
    <row r="573" spans="3:6" ht="12.45">
      <c r="C573" s="26"/>
      <c r="D573" s="26"/>
      <c r="E573" s="26"/>
      <c r="F573" s="26"/>
    </row>
    <row r="574" spans="3:6" ht="12.45">
      <c r="C574" s="26"/>
      <c r="D574" s="26"/>
      <c r="E574" s="26"/>
      <c r="F574" s="26"/>
    </row>
    <row r="575" spans="3:6" ht="12.45">
      <c r="C575" s="26"/>
      <c r="D575" s="26"/>
      <c r="E575" s="26"/>
      <c r="F575" s="26"/>
    </row>
    <row r="576" spans="3:6" ht="12.45">
      <c r="C576" s="26"/>
      <c r="D576" s="26"/>
      <c r="E576" s="26"/>
      <c r="F576" s="26"/>
    </row>
    <row r="577" spans="3:6" ht="12.45">
      <c r="C577" s="26"/>
      <c r="D577" s="26"/>
      <c r="E577" s="26"/>
      <c r="F577" s="26"/>
    </row>
    <row r="578" spans="3:6" ht="12.45">
      <c r="C578" s="26"/>
      <c r="D578" s="26"/>
      <c r="E578" s="26"/>
      <c r="F578" s="26"/>
    </row>
    <row r="579" spans="3:6" ht="12.45">
      <c r="C579" s="26"/>
      <c r="D579" s="26"/>
      <c r="E579" s="26"/>
      <c r="F579" s="26"/>
    </row>
    <row r="580" spans="3:6" ht="12.45">
      <c r="C580" s="26"/>
      <c r="D580" s="26"/>
      <c r="E580" s="26"/>
      <c r="F580" s="26"/>
    </row>
    <row r="581" spans="3:6" ht="12.45">
      <c r="C581" s="26"/>
      <c r="D581" s="26"/>
      <c r="E581" s="26"/>
      <c r="F581" s="26"/>
    </row>
    <row r="582" spans="3:6" ht="12.45">
      <c r="C582" s="26"/>
      <c r="D582" s="26"/>
      <c r="E582" s="26"/>
      <c r="F582" s="26"/>
    </row>
    <row r="583" spans="3:6" ht="12.45">
      <c r="C583" s="26"/>
      <c r="D583" s="26"/>
      <c r="E583" s="26"/>
      <c r="F583" s="26"/>
    </row>
    <row r="584" spans="3:6" ht="12.45">
      <c r="C584" s="26"/>
      <c r="D584" s="26"/>
      <c r="E584" s="26"/>
      <c r="F584" s="26"/>
    </row>
    <row r="585" spans="3:6" ht="12.45">
      <c r="C585" s="26"/>
      <c r="D585" s="26"/>
      <c r="E585" s="26"/>
      <c r="F585" s="26"/>
    </row>
    <row r="586" spans="3:6" ht="12.45">
      <c r="C586" s="26"/>
      <c r="D586" s="26"/>
      <c r="E586" s="26"/>
      <c r="F586" s="26"/>
    </row>
    <row r="587" spans="3:6" ht="12.45">
      <c r="C587" s="26"/>
      <c r="D587" s="26"/>
      <c r="E587" s="26"/>
      <c r="F587" s="26"/>
    </row>
    <row r="588" spans="3:6" ht="12.45">
      <c r="C588" s="26"/>
      <c r="D588" s="26"/>
      <c r="E588" s="26"/>
      <c r="F588" s="26"/>
    </row>
    <row r="589" spans="3:6" ht="12.45">
      <c r="C589" s="26"/>
      <c r="D589" s="26"/>
      <c r="E589" s="26"/>
      <c r="F589" s="26"/>
    </row>
    <row r="590" spans="3:6" ht="12.45">
      <c r="C590" s="26"/>
      <c r="D590" s="26"/>
      <c r="E590" s="26"/>
      <c r="F590" s="26"/>
    </row>
    <row r="591" spans="3:6" ht="12.45">
      <c r="C591" s="26"/>
      <c r="D591" s="26"/>
      <c r="E591" s="26"/>
      <c r="F591" s="26"/>
    </row>
    <row r="592" spans="3:6" ht="12.45">
      <c r="C592" s="26"/>
      <c r="D592" s="26"/>
      <c r="E592" s="26"/>
      <c r="F592" s="26"/>
    </row>
    <row r="593" spans="3:6" ht="12.45">
      <c r="C593" s="26"/>
      <c r="D593" s="26"/>
      <c r="E593" s="26"/>
      <c r="F593" s="26"/>
    </row>
    <row r="594" spans="3:6" ht="12.45">
      <c r="C594" s="26"/>
      <c r="D594" s="26"/>
      <c r="E594" s="26"/>
      <c r="F594" s="26"/>
    </row>
    <row r="595" spans="3:6" ht="12.45">
      <c r="C595" s="26"/>
      <c r="D595" s="26"/>
      <c r="E595" s="26"/>
      <c r="F595" s="26"/>
    </row>
    <row r="596" spans="3:6" ht="12.45">
      <c r="C596" s="26"/>
      <c r="D596" s="26"/>
      <c r="E596" s="26"/>
      <c r="F596" s="26"/>
    </row>
    <row r="597" spans="3:6" ht="12.45">
      <c r="C597" s="26"/>
      <c r="D597" s="26"/>
      <c r="E597" s="26"/>
      <c r="F597" s="26"/>
    </row>
    <row r="598" spans="3:6" ht="12.45">
      <c r="C598" s="26"/>
      <c r="D598" s="26"/>
      <c r="E598" s="26"/>
      <c r="F598" s="26"/>
    </row>
    <row r="599" spans="3:6" ht="12.45">
      <c r="C599" s="26"/>
      <c r="D599" s="26"/>
      <c r="E599" s="26"/>
      <c r="F599" s="26"/>
    </row>
    <row r="600" spans="3:6" ht="12.45">
      <c r="C600" s="26"/>
      <c r="D600" s="26"/>
      <c r="E600" s="26"/>
      <c r="F600" s="26"/>
    </row>
    <row r="601" spans="3:6" ht="12.45">
      <c r="C601" s="26"/>
      <c r="D601" s="26"/>
      <c r="E601" s="26"/>
      <c r="F601" s="26"/>
    </row>
    <row r="602" spans="3:6" ht="12.45">
      <c r="C602" s="26"/>
      <c r="D602" s="26"/>
      <c r="E602" s="26"/>
      <c r="F602" s="26"/>
    </row>
    <row r="603" spans="3:6" ht="12.45">
      <c r="C603" s="26"/>
      <c r="D603" s="26"/>
      <c r="E603" s="26"/>
      <c r="F603" s="26"/>
    </row>
    <row r="604" spans="3:6" ht="12.45">
      <c r="C604" s="26"/>
      <c r="D604" s="26"/>
      <c r="E604" s="26"/>
      <c r="F604" s="26"/>
    </row>
    <row r="605" spans="3:6" ht="12.45">
      <c r="C605" s="26"/>
      <c r="D605" s="26"/>
      <c r="E605" s="26"/>
      <c r="F605" s="26"/>
    </row>
    <row r="606" spans="3:6" ht="12.45">
      <c r="C606" s="26"/>
      <c r="D606" s="26"/>
      <c r="E606" s="26"/>
      <c r="F606" s="26"/>
    </row>
    <row r="607" spans="3:6" ht="12.45">
      <c r="C607" s="26"/>
      <c r="D607" s="26"/>
      <c r="E607" s="26"/>
      <c r="F607" s="26"/>
    </row>
    <row r="608" spans="3:6" ht="12.45">
      <c r="C608" s="26"/>
      <c r="D608" s="26"/>
      <c r="E608" s="26"/>
      <c r="F608" s="26"/>
    </row>
    <row r="609" spans="3:6" ht="12.45">
      <c r="C609" s="26"/>
      <c r="D609" s="26"/>
      <c r="E609" s="26"/>
      <c r="F609" s="26"/>
    </row>
    <row r="610" spans="3:6" ht="12.45">
      <c r="C610" s="26"/>
      <c r="D610" s="26"/>
      <c r="E610" s="26"/>
      <c r="F610" s="26"/>
    </row>
    <row r="611" spans="3:6" ht="12.45">
      <c r="C611" s="26"/>
      <c r="D611" s="26"/>
      <c r="E611" s="26"/>
      <c r="F611" s="26"/>
    </row>
    <row r="612" spans="3:6" ht="12.45">
      <c r="C612" s="26"/>
      <c r="D612" s="26"/>
      <c r="E612" s="26"/>
      <c r="F612" s="26"/>
    </row>
    <row r="613" spans="3:6" ht="12.45">
      <c r="C613" s="26"/>
      <c r="D613" s="26"/>
      <c r="E613" s="26"/>
      <c r="F613" s="26"/>
    </row>
    <row r="614" spans="3:6" ht="12.45">
      <c r="C614" s="26"/>
      <c r="D614" s="26"/>
      <c r="E614" s="26"/>
      <c r="F614" s="26"/>
    </row>
    <row r="615" spans="3:6" ht="12.45">
      <c r="C615" s="26"/>
      <c r="D615" s="26"/>
      <c r="E615" s="26"/>
      <c r="F615" s="26"/>
    </row>
    <row r="616" spans="3:6" ht="12.45">
      <c r="C616" s="26"/>
      <c r="D616" s="26"/>
      <c r="E616" s="26"/>
      <c r="F616" s="26"/>
    </row>
    <row r="617" spans="3:6" ht="12.45">
      <c r="C617" s="26"/>
      <c r="D617" s="26"/>
      <c r="E617" s="26"/>
      <c r="F617" s="26"/>
    </row>
    <row r="618" spans="3:6" ht="12.45">
      <c r="C618" s="26"/>
      <c r="D618" s="26"/>
      <c r="E618" s="26"/>
      <c r="F618" s="26"/>
    </row>
    <row r="619" spans="3:6" ht="12.45">
      <c r="C619" s="26"/>
      <c r="D619" s="26"/>
      <c r="E619" s="26"/>
      <c r="F619" s="26"/>
    </row>
    <row r="620" spans="3:6" ht="12.45">
      <c r="C620" s="26"/>
      <c r="D620" s="26"/>
      <c r="E620" s="26"/>
      <c r="F620" s="26"/>
    </row>
    <row r="621" spans="3:6" ht="12.45">
      <c r="C621" s="26"/>
      <c r="D621" s="26"/>
      <c r="E621" s="26"/>
      <c r="F621" s="26"/>
    </row>
    <row r="622" spans="3:6" ht="12.45">
      <c r="C622" s="26"/>
      <c r="D622" s="26"/>
      <c r="E622" s="26"/>
      <c r="F622" s="26"/>
    </row>
    <row r="623" spans="3:6" ht="12.45">
      <c r="C623" s="26"/>
      <c r="D623" s="26"/>
      <c r="E623" s="26"/>
      <c r="F623" s="26"/>
    </row>
    <row r="624" spans="3:6" ht="12.45">
      <c r="C624" s="26"/>
      <c r="D624" s="26"/>
      <c r="E624" s="26"/>
      <c r="F624" s="26"/>
    </row>
    <row r="625" spans="3:6" ht="12.45">
      <c r="C625" s="26"/>
      <c r="D625" s="26"/>
      <c r="E625" s="26"/>
      <c r="F625" s="26"/>
    </row>
    <row r="626" spans="3:6" ht="12.45">
      <c r="C626" s="26"/>
      <c r="D626" s="26"/>
      <c r="E626" s="26"/>
      <c r="F626" s="26"/>
    </row>
    <row r="627" spans="3:6" ht="12.45">
      <c r="C627" s="26"/>
      <c r="D627" s="26"/>
      <c r="E627" s="26"/>
      <c r="F627" s="26"/>
    </row>
    <row r="628" spans="3:6" ht="12.45">
      <c r="C628" s="26"/>
      <c r="D628" s="26"/>
      <c r="E628" s="26"/>
      <c r="F628" s="26"/>
    </row>
    <row r="629" spans="3:6" ht="12.45">
      <c r="C629" s="26"/>
      <c r="D629" s="26"/>
      <c r="E629" s="26"/>
      <c r="F629" s="26"/>
    </row>
    <row r="630" spans="3:6" ht="12.45">
      <c r="C630" s="26"/>
      <c r="D630" s="26"/>
      <c r="E630" s="26"/>
      <c r="F630" s="26"/>
    </row>
    <row r="631" spans="3:6" ht="12.45">
      <c r="C631" s="26"/>
      <c r="D631" s="26"/>
      <c r="E631" s="26"/>
      <c r="F631" s="26"/>
    </row>
    <row r="632" spans="3:6" ht="12.45">
      <c r="C632" s="26"/>
      <c r="D632" s="26"/>
      <c r="E632" s="26"/>
      <c r="F632" s="26"/>
    </row>
    <row r="633" spans="3:6" ht="12.45">
      <c r="C633" s="26"/>
      <c r="D633" s="26"/>
      <c r="E633" s="26"/>
      <c r="F633" s="26"/>
    </row>
    <row r="634" spans="3:6" ht="12.45">
      <c r="C634" s="26"/>
      <c r="D634" s="26"/>
      <c r="E634" s="26"/>
      <c r="F634" s="26"/>
    </row>
    <row r="635" spans="3:6" ht="12.45">
      <c r="C635" s="26"/>
      <c r="D635" s="26"/>
      <c r="E635" s="26"/>
      <c r="F635" s="26"/>
    </row>
    <row r="636" spans="3:6" ht="12.45">
      <c r="C636" s="26"/>
      <c r="D636" s="26"/>
      <c r="E636" s="26"/>
      <c r="F636" s="26"/>
    </row>
    <row r="637" spans="3:6" ht="12.45">
      <c r="C637" s="26"/>
      <c r="D637" s="26"/>
      <c r="E637" s="26"/>
      <c r="F637" s="26"/>
    </row>
    <row r="638" spans="3:6" ht="12.45">
      <c r="C638" s="26"/>
      <c r="D638" s="26"/>
      <c r="E638" s="26"/>
      <c r="F638" s="26"/>
    </row>
    <row r="639" spans="3:6" ht="12.45">
      <c r="C639" s="26"/>
      <c r="D639" s="26"/>
      <c r="E639" s="26"/>
      <c r="F639" s="26"/>
    </row>
    <row r="640" spans="3:6" ht="12.45">
      <c r="C640" s="26"/>
      <c r="D640" s="26"/>
      <c r="E640" s="26"/>
      <c r="F640" s="26"/>
    </row>
    <row r="641" spans="3:6" ht="12.45">
      <c r="C641" s="26"/>
      <c r="D641" s="26"/>
      <c r="E641" s="26"/>
      <c r="F641" s="26"/>
    </row>
    <row r="642" spans="3:6" ht="12.45">
      <c r="C642" s="26"/>
      <c r="D642" s="26"/>
      <c r="E642" s="26"/>
      <c r="F642" s="26"/>
    </row>
    <row r="643" spans="3:6" ht="12.45">
      <c r="C643" s="26"/>
      <c r="D643" s="26"/>
      <c r="E643" s="26"/>
      <c r="F643" s="26"/>
    </row>
    <row r="644" spans="3:6" ht="12.45">
      <c r="C644" s="26"/>
      <c r="D644" s="26"/>
      <c r="E644" s="26"/>
      <c r="F644" s="26"/>
    </row>
    <row r="645" spans="3:6" ht="12.45">
      <c r="C645" s="26"/>
      <c r="D645" s="26"/>
      <c r="E645" s="26"/>
      <c r="F645" s="26"/>
    </row>
    <row r="646" spans="3:6" ht="12.45">
      <c r="C646" s="26"/>
      <c r="D646" s="26"/>
      <c r="E646" s="26"/>
      <c r="F646" s="26"/>
    </row>
    <row r="647" spans="3:6" ht="12.45">
      <c r="C647" s="26"/>
      <c r="D647" s="26"/>
      <c r="E647" s="26"/>
      <c r="F647" s="26"/>
    </row>
    <row r="648" spans="3:6" ht="12.45">
      <c r="C648" s="26"/>
      <c r="D648" s="26"/>
      <c r="E648" s="26"/>
      <c r="F648" s="26"/>
    </row>
    <row r="649" spans="3:6" ht="12.45">
      <c r="C649" s="26"/>
      <c r="D649" s="26"/>
      <c r="E649" s="26"/>
      <c r="F649" s="26"/>
    </row>
    <row r="650" spans="3:6" ht="12.45">
      <c r="C650" s="26"/>
      <c r="D650" s="26"/>
      <c r="E650" s="26"/>
      <c r="F650" s="26"/>
    </row>
    <row r="651" spans="3:6" ht="12.45">
      <c r="C651" s="26"/>
      <c r="D651" s="26"/>
      <c r="E651" s="26"/>
      <c r="F651" s="26"/>
    </row>
    <row r="652" spans="3:6" ht="12.45">
      <c r="C652" s="26"/>
      <c r="D652" s="26"/>
      <c r="E652" s="26"/>
      <c r="F652" s="26"/>
    </row>
    <row r="653" spans="3:6" ht="12.45">
      <c r="C653" s="26"/>
      <c r="D653" s="26"/>
      <c r="E653" s="26"/>
      <c r="F653" s="26"/>
    </row>
    <row r="654" spans="3:6" ht="12.45">
      <c r="C654" s="26"/>
      <c r="D654" s="26"/>
      <c r="E654" s="26"/>
      <c r="F654" s="26"/>
    </row>
    <row r="655" spans="3:6" ht="12.45">
      <c r="C655" s="26"/>
      <c r="D655" s="26"/>
      <c r="E655" s="26"/>
      <c r="F655" s="26"/>
    </row>
    <row r="656" spans="3:6" ht="12.45">
      <c r="C656" s="26"/>
      <c r="D656" s="26"/>
      <c r="E656" s="26"/>
      <c r="F656" s="26"/>
    </row>
    <row r="657" spans="3:6" ht="12.45">
      <c r="C657" s="26"/>
      <c r="D657" s="26"/>
      <c r="E657" s="26"/>
      <c r="F657" s="26"/>
    </row>
    <row r="658" spans="3:6" ht="12.45">
      <c r="C658" s="26"/>
      <c r="D658" s="26"/>
      <c r="E658" s="26"/>
      <c r="F658" s="26"/>
    </row>
    <row r="659" spans="3:6" ht="12.45">
      <c r="C659" s="26"/>
      <c r="D659" s="26"/>
      <c r="E659" s="26"/>
      <c r="F659" s="26"/>
    </row>
    <row r="660" spans="3:6" ht="12.45">
      <c r="C660" s="26"/>
      <c r="D660" s="26"/>
      <c r="E660" s="26"/>
      <c r="F660" s="26"/>
    </row>
    <row r="661" spans="3:6" ht="12.45">
      <c r="C661" s="26"/>
      <c r="D661" s="26"/>
      <c r="E661" s="26"/>
      <c r="F661" s="26"/>
    </row>
    <row r="662" spans="3:6" ht="12.45">
      <c r="C662" s="26"/>
      <c r="D662" s="26"/>
      <c r="E662" s="26"/>
      <c r="F662" s="26"/>
    </row>
    <row r="663" spans="3:6" ht="12.45">
      <c r="C663" s="26"/>
      <c r="D663" s="26"/>
      <c r="E663" s="26"/>
      <c r="F663" s="26"/>
    </row>
    <row r="664" spans="3:6" ht="12.45">
      <c r="C664" s="26"/>
      <c r="D664" s="26"/>
      <c r="E664" s="26"/>
      <c r="F664" s="26"/>
    </row>
    <row r="665" spans="3:6" ht="12.45">
      <c r="C665" s="26"/>
      <c r="D665" s="26"/>
      <c r="E665" s="26"/>
      <c r="F665" s="26"/>
    </row>
    <row r="666" spans="3:6" ht="12.45">
      <c r="C666" s="26"/>
      <c r="D666" s="26"/>
      <c r="E666" s="26"/>
      <c r="F666" s="26"/>
    </row>
    <row r="667" spans="3:6" ht="12.45">
      <c r="C667" s="26"/>
      <c r="D667" s="26"/>
      <c r="E667" s="26"/>
      <c r="F667" s="26"/>
    </row>
    <row r="668" spans="3:6" ht="12.45">
      <c r="C668" s="26"/>
      <c r="D668" s="26"/>
      <c r="E668" s="26"/>
      <c r="F668" s="26"/>
    </row>
    <row r="669" spans="3:6" ht="12.45">
      <c r="C669" s="26"/>
      <c r="D669" s="26"/>
      <c r="E669" s="26"/>
      <c r="F669" s="26"/>
    </row>
    <row r="670" spans="3:6" ht="12.45">
      <c r="C670" s="26"/>
      <c r="D670" s="26"/>
      <c r="E670" s="26"/>
      <c r="F670" s="26"/>
    </row>
    <row r="671" spans="3:6" ht="12.45">
      <c r="C671" s="26"/>
      <c r="D671" s="26"/>
      <c r="E671" s="26"/>
      <c r="F671" s="26"/>
    </row>
    <row r="672" spans="3:6" ht="12.45">
      <c r="C672" s="26"/>
      <c r="D672" s="26"/>
      <c r="E672" s="26"/>
      <c r="F672" s="26"/>
    </row>
    <row r="673" spans="3:6" ht="12.45">
      <c r="C673" s="26"/>
      <c r="D673" s="26"/>
      <c r="E673" s="26"/>
      <c r="F673" s="26"/>
    </row>
    <row r="674" spans="3:6" ht="12.45">
      <c r="C674" s="26"/>
      <c r="D674" s="26"/>
      <c r="E674" s="26"/>
      <c r="F674" s="26"/>
    </row>
    <row r="675" spans="3:6" ht="12.45">
      <c r="C675" s="26"/>
      <c r="D675" s="26"/>
      <c r="E675" s="26"/>
      <c r="F675" s="26"/>
    </row>
    <row r="676" spans="3:6" ht="12.45">
      <c r="C676" s="26"/>
      <c r="D676" s="26"/>
      <c r="E676" s="26"/>
      <c r="F676" s="26"/>
    </row>
    <row r="677" spans="3:6" ht="12.45">
      <c r="C677" s="26"/>
      <c r="D677" s="26"/>
      <c r="E677" s="26"/>
      <c r="F677" s="26"/>
    </row>
    <row r="678" spans="3:6" ht="12.45">
      <c r="C678" s="26"/>
      <c r="D678" s="26"/>
      <c r="E678" s="26"/>
      <c r="F678" s="26"/>
    </row>
    <row r="679" spans="3:6" ht="12.45">
      <c r="C679" s="26"/>
      <c r="D679" s="26"/>
      <c r="E679" s="26"/>
      <c r="F679" s="26"/>
    </row>
    <row r="680" spans="3:6" ht="12.45">
      <c r="C680" s="26"/>
      <c r="D680" s="26"/>
      <c r="E680" s="26"/>
      <c r="F680" s="26"/>
    </row>
    <row r="681" spans="3:6" ht="12.45">
      <c r="C681" s="26"/>
      <c r="D681" s="26"/>
      <c r="E681" s="26"/>
      <c r="F681" s="26"/>
    </row>
    <row r="682" spans="3:6" ht="12.45">
      <c r="C682" s="26"/>
      <c r="D682" s="26"/>
      <c r="E682" s="26"/>
      <c r="F682" s="26"/>
    </row>
    <row r="683" spans="3:6" ht="12.45">
      <c r="C683" s="26"/>
      <c r="D683" s="26"/>
      <c r="E683" s="26"/>
      <c r="F683" s="26"/>
    </row>
    <row r="684" spans="3:6" ht="12.45">
      <c r="C684" s="26"/>
      <c r="D684" s="26"/>
      <c r="E684" s="26"/>
      <c r="F684" s="26"/>
    </row>
    <row r="685" spans="3:6" ht="12.45">
      <c r="C685" s="26"/>
      <c r="D685" s="26"/>
      <c r="E685" s="26"/>
      <c r="F685" s="26"/>
    </row>
    <row r="686" spans="3:6" ht="12.45">
      <c r="C686" s="26"/>
      <c r="D686" s="26"/>
      <c r="E686" s="26"/>
      <c r="F686" s="26"/>
    </row>
    <row r="687" spans="3:6" ht="12.45">
      <c r="C687" s="26"/>
      <c r="D687" s="26"/>
      <c r="E687" s="26"/>
      <c r="F687" s="26"/>
    </row>
    <row r="688" spans="3:6" ht="12.45">
      <c r="C688" s="26"/>
      <c r="D688" s="26"/>
      <c r="E688" s="26"/>
      <c r="F688" s="26"/>
    </row>
    <row r="689" spans="3:6" ht="12.45">
      <c r="C689" s="26"/>
      <c r="D689" s="26"/>
      <c r="E689" s="26"/>
      <c r="F689" s="26"/>
    </row>
    <row r="690" spans="3:6" ht="12.45">
      <c r="C690" s="26"/>
      <c r="D690" s="26"/>
      <c r="E690" s="26"/>
      <c r="F690" s="26"/>
    </row>
    <row r="691" spans="3:6" ht="12.45">
      <c r="C691" s="26"/>
      <c r="D691" s="26"/>
      <c r="E691" s="26"/>
      <c r="F691" s="26"/>
    </row>
    <row r="692" spans="3:6" ht="12.45">
      <c r="C692" s="26"/>
      <c r="D692" s="26"/>
      <c r="E692" s="26"/>
      <c r="F692" s="26"/>
    </row>
    <row r="693" spans="3:6" ht="12.45">
      <c r="C693" s="26"/>
      <c r="D693" s="26"/>
      <c r="E693" s="26"/>
      <c r="F693" s="26"/>
    </row>
    <row r="694" spans="3:6" ht="12.45">
      <c r="C694" s="26"/>
      <c r="D694" s="26"/>
      <c r="E694" s="26"/>
      <c r="F694" s="26"/>
    </row>
    <row r="695" spans="3:6" ht="12.45">
      <c r="C695" s="26"/>
      <c r="D695" s="26"/>
      <c r="E695" s="26"/>
      <c r="F695" s="26"/>
    </row>
    <row r="696" spans="3:6" ht="12.45">
      <c r="C696" s="26"/>
      <c r="D696" s="26"/>
      <c r="E696" s="26"/>
      <c r="F696" s="26"/>
    </row>
    <row r="697" spans="3:6" ht="12.45">
      <c r="C697" s="26"/>
      <c r="D697" s="26"/>
      <c r="E697" s="26"/>
      <c r="F697" s="26"/>
    </row>
    <row r="698" spans="3:6" ht="12.45">
      <c r="C698" s="26"/>
      <c r="D698" s="26"/>
      <c r="E698" s="26"/>
      <c r="F698" s="26"/>
    </row>
    <row r="699" spans="3:6" ht="12.45">
      <c r="C699" s="26"/>
      <c r="D699" s="26"/>
      <c r="E699" s="26"/>
      <c r="F699" s="26"/>
    </row>
    <row r="700" spans="3:6" ht="12.45">
      <c r="C700" s="26"/>
      <c r="D700" s="26"/>
      <c r="E700" s="26"/>
      <c r="F700" s="26"/>
    </row>
    <row r="701" spans="3:6" ht="12.45">
      <c r="C701" s="26"/>
      <c r="D701" s="26"/>
      <c r="E701" s="26"/>
      <c r="F701" s="26"/>
    </row>
    <row r="702" spans="3:6" ht="12.45">
      <c r="C702" s="26"/>
      <c r="D702" s="26"/>
      <c r="E702" s="26"/>
      <c r="F702" s="26"/>
    </row>
    <row r="703" spans="3:6" ht="12.45">
      <c r="C703" s="26"/>
      <c r="D703" s="26"/>
      <c r="E703" s="26"/>
      <c r="F703" s="26"/>
    </row>
    <row r="704" spans="3:6" ht="12.45">
      <c r="C704" s="26"/>
      <c r="D704" s="26"/>
      <c r="E704" s="26"/>
      <c r="F704" s="26"/>
    </row>
    <row r="705" spans="3:6" ht="12.45">
      <c r="C705" s="26"/>
      <c r="D705" s="26"/>
      <c r="E705" s="26"/>
      <c r="F705" s="26"/>
    </row>
    <row r="706" spans="3:6" ht="12.45">
      <c r="C706" s="26"/>
      <c r="D706" s="26"/>
      <c r="E706" s="26"/>
      <c r="F706" s="26"/>
    </row>
    <row r="707" spans="3:6" ht="12.45">
      <c r="C707" s="26"/>
      <c r="D707" s="26"/>
      <c r="E707" s="26"/>
      <c r="F707" s="26"/>
    </row>
    <row r="708" spans="3:6" ht="12.45">
      <c r="C708" s="26"/>
      <c r="D708" s="26"/>
      <c r="E708" s="26"/>
      <c r="F708" s="26"/>
    </row>
    <row r="709" spans="3:6" ht="12.45">
      <c r="C709" s="26"/>
      <c r="D709" s="26"/>
      <c r="E709" s="26"/>
      <c r="F709" s="26"/>
    </row>
    <row r="710" spans="3:6" ht="12.45">
      <c r="C710" s="26"/>
      <c r="D710" s="26"/>
      <c r="E710" s="26"/>
      <c r="F710" s="26"/>
    </row>
    <row r="711" spans="3:6" ht="12.45">
      <c r="C711" s="26"/>
      <c r="D711" s="26"/>
      <c r="E711" s="26"/>
      <c r="F711" s="26"/>
    </row>
    <row r="712" spans="3:6" ht="12.45">
      <c r="C712" s="26"/>
      <c r="D712" s="26"/>
      <c r="E712" s="26"/>
      <c r="F712" s="26"/>
    </row>
    <row r="713" spans="3:6" ht="12.45">
      <c r="C713" s="26"/>
      <c r="D713" s="26"/>
      <c r="E713" s="26"/>
      <c r="F713" s="26"/>
    </row>
    <row r="714" spans="3:6" ht="12.45">
      <c r="C714" s="26"/>
      <c r="D714" s="26"/>
      <c r="E714" s="26"/>
      <c r="F714" s="26"/>
    </row>
    <row r="715" spans="3:6" ht="12.45">
      <c r="C715" s="26"/>
      <c r="D715" s="26"/>
      <c r="E715" s="26"/>
      <c r="F715" s="26"/>
    </row>
    <row r="716" spans="3:6" ht="12.45">
      <c r="C716" s="26"/>
      <c r="D716" s="26"/>
      <c r="E716" s="26"/>
      <c r="F716" s="26"/>
    </row>
    <row r="717" spans="3:6" ht="12.45">
      <c r="C717" s="26"/>
      <c r="D717" s="26"/>
      <c r="E717" s="26"/>
      <c r="F717" s="26"/>
    </row>
    <row r="718" spans="3:6" ht="12.45">
      <c r="C718" s="26"/>
      <c r="D718" s="26"/>
      <c r="E718" s="26"/>
      <c r="F718" s="26"/>
    </row>
    <row r="719" spans="3:6" ht="12.45">
      <c r="C719" s="26"/>
      <c r="D719" s="26"/>
      <c r="E719" s="26"/>
      <c r="F719" s="26"/>
    </row>
    <row r="720" spans="3:6" ht="12.45">
      <c r="C720" s="26"/>
      <c r="D720" s="26"/>
      <c r="E720" s="26"/>
      <c r="F720" s="26"/>
    </row>
    <row r="721" spans="3:6" ht="12.45">
      <c r="C721" s="26"/>
      <c r="D721" s="26"/>
      <c r="E721" s="26"/>
      <c r="F721" s="26"/>
    </row>
    <row r="722" spans="3:6" ht="12.45">
      <c r="C722" s="26"/>
      <c r="D722" s="26"/>
      <c r="E722" s="26"/>
      <c r="F722" s="26"/>
    </row>
    <row r="723" spans="3:6" ht="12.45">
      <c r="C723" s="26"/>
      <c r="D723" s="26"/>
      <c r="E723" s="26"/>
      <c r="F723" s="26"/>
    </row>
    <row r="724" spans="3:6" ht="12.45">
      <c r="C724" s="26"/>
      <c r="D724" s="26"/>
      <c r="E724" s="26"/>
      <c r="F724" s="26"/>
    </row>
    <row r="725" spans="3:6" ht="12.45">
      <c r="C725" s="26"/>
      <c r="D725" s="26"/>
      <c r="E725" s="26"/>
      <c r="F725" s="26"/>
    </row>
    <row r="726" spans="3:6" ht="12.45">
      <c r="C726" s="26"/>
      <c r="D726" s="26"/>
      <c r="E726" s="26"/>
      <c r="F726" s="26"/>
    </row>
    <row r="727" spans="3:6" ht="12.45">
      <c r="C727" s="26"/>
      <c r="D727" s="26"/>
      <c r="E727" s="26"/>
      <c r="F727" s="26"/>
    </row>
    <row r="728" spans="3:6" ht="12.45">
      <c r="C728" s="26"/>
      <c r="D728" s="26"/>
      <c r="E728" s="26"/>
      <c r="F728" s="26"/>
    </row>
    <row r="729" spans="3:6" ht="12.45">
      <c r="C729" s="26"/>
      <c r="D729" s="26"/>
      <c r="E729" s="26"/>
      <c r="F729" s="26"/>
    </row>
    <row r="730" spans="3:6" ht="12.45">
      <c r="C730" s="26"/>
      <c r="D730" s="26"/>
      <c r="E730" s="26"/>
      <c r="F730" s="26"/>
    </row>
    <row r="731" spans="3:6" ht="12.45">
      <c r="C731" s="26"/>
      <c r="D731" s="26"/>
      <c r="E731" s="26"/>
      <c r="F731" s="26"/>
    </row>
    <row r="732" spans="3:6" ht="12.45">
      <c r="C732" s="26"/>
      <c r="D732" s="26"/>
      <c r="E732" s="26"/>
      <c r="F732" s="26"/>
    </row>
    <row r="733" spans="3:6" ht="12.45">
      <c r="C733" s="26"/>
      <c r="D733" s="26"/>
      <c r="E733" s="26"/>
      <c r="F733" s="26"/>
    </row>
    <row r="734" spans="3:6" ht="12.45">
      <c r="C734" s="26"/>
      <c r="D734" s="26"/>
      <c r="E734" s="26"/>
      <c r="F734" s="26"/>
    </row>
    <row r="735" spans="3:6" ht="12.45">
      <c r="C735" s="26"/>
      <c r="D735" s="26"/>
      <c r="E735" s="26"/>
      <c r="F735" s="26"/>
    </row>
    <row r="736" spans="3:6" ht="12.45">
      <c r="C736" s="26"/>
      <c r="D736" s="26"/>
      <c r="E736" s="26"/>
      <c r="F736" s="26"/>
    </row>
    <row r="737" spans="3:6" ht="12.45">
      <c r="C737" s="26"/>
      <c r="D737" s="26"/>
      <c r="E737" s="26"/>
      <c r="F737" s="26"/>
    </row>
    <row r="738" spans="3:6" ht="12.45">
      <c r="C738" s="26"/>
      <c r="D738" s="26"/>
      <c r="E738" s="26"/>
      <c r="F738" s="26"/>
    </row>
    <row r="739" spans="3:6" ht="12.45">
      <c r="C739" s="26"/>
      <c r="D739" s="26"/>
      <c r="E739" s="26"/>
      <c r="F739" s="26"/>
    </row>
    <row r="740" spans="3:6" ht="12.45">
      <c r="C740" s="26"/>
      <c r="D740" s="26"/>
      <c r="E740" s="26"/>
      <c r="F740" s="26"/>
    </row>
    <row r="741" spans="3:6" ht="12.45">
      <c r="C741" s="26"/>
      <c r="D741" s="26"/>
      <c r="E741" s="26"/>
      <c r="F741" s="26"/>
    </row>
    <row r="742" spans="3:6" ht="12.45">
      <c r="C742" s="26"/>
      <c r="D742" s="26"/>
      <c r="E742" s="26"/>
      <c r="F742" s="26"/>
    </row>
    <row r="743" spans="3:6" ht="12.45">
      <c r="C743" s="26"/>
      <c r="D743" s="26"/>
      <c r="E743" s="26"/>
      <c r="F743" s="26"/>
    </row>
    <row r="744" spans="3:6" ht="12.45">
      <c r="C744" s="26"/>
      <c r="D744" s="26"/>
      <c r="E744" s="26"/>
      <c r="F744" s="26"/>
    </row>
    <row r="745" spans="3:6" ht="12.45">
      <c r="C745" s="26"/>
      <c r="D745" s="26"/>
      <c r="E745" s="26"/>
      <c r="F745" s="26"/>
    </row>
    <row r="746" spans="3:6" ht="12.45">
      <c r="C746" s="26"/>
      <c r="D746" s="26"/>
      <c r="E746" s="26"/>
      <c r="F746" s="26"/>
    </row>
    <row r="747" spans="3:6" ht="12.45">
      <c r="C747" s="26"/>
      <c r="D747" s="26"/>
      <c r="E747" s="26"/>
      <c r="F747" s="26"/>
    </row>
    <row r="748" spans="3:6" ht="12.45">
      <c r="C748" s="26"/>
      <c r="D748" s="26"/>
      <c r="E748" s="26"/>
      <c r="F748" s="26"/>
    </row>
    <row r="749" spans="3:6" ht="12.45">
      <c r="C749" s="26"/>
      <c r="D749" s="26"/>
      <c r="E749" s="26"/>
      <c r="F749" s="26"/>
    </row>
    <row r="750" spans="3:6" ht="12.45">
      <c r="C750" s="26"/>
      <c r="D750" s="26"/>
      <c r="E750" s="26"/>
      <c r="F750" s="26"/>
    </row>
    <row r="751" spans="3:6" ht="12.45">
      <c r="C751" s="26"/>
      <c r="D751" s="26"/>
      <c r="E751" s="26"/>
      <c r="F751" s="26"/>
    </row>
    <row r="752" spans="3:6" ht="12.45">
      <c r="C752" s="26"/>
      <c r="D752" s="26"/>
      <c r="E752" s="26"/>
      <c r="F752" s="26"/>
    </row>
    <row r="753" spans="3:6" ht="12.45">
      <c r="C753" s="26"/>
      <c r="D753" s="26"/>
      <c r="E753" s="26"/>
      <c r="F753" s="26"/>
    </row>
    <row r="754" spans="3:6" ht="12.45">
      <c r="C754" s="26"/>
      <c r="D754" s="26"/>
      <c r="E754" s="26"/>
      <c r="F754" s="26"/>
    </row>
    <row r="755" spans="3:6" ht="12.45">
      <c r="C755" s="26"/>
      <c r="D755" s="26"/>
      <c r="E755" s="26"/>
      <c r="F755" s="26"/>
    </row>
    <row r="756" spans="3:6" ht="12.45">
      <c r="C756" s="26"/>
      <c r="D756" s="26"/>
      <c r="E756" s="26"/>
      <c r="F756" s="26"/>
    </row>
    <row r="757" spans="3:6" ht="12.45">
      <c r="C757" s="26"/>
      <c r="D757" s="26"/>
      <c r="E757" s="26"/>
      <c r="F757" s="26"/>
    </row>
    <row r="758" spans="3:6" ht="12.45">
      <c r="C758" s="26"/>
      <c r="D758" s="26"/>
      <c r="E758" s="26"/>
      <c r="F758" s="26"/>
    </row>
    <row r="759" spans="3:6" ht="12.45">
      <c r="C759" s="26"/>
      <c r="D759" s="26"/>
      <c r="E759" s="26"/>
      <c r="F759" s="26"/>
    </row>
    <row r="760" spans="3:6" ht="12.45">
      <c r="C760" s="26"/>
      <c r="D760" s="26"/>
      <c r="E760" s="26"/>
      <c r="F760" s="26"/>
    </row>
    <row r="761" spans="3:6" ht="12.45">
      <c r="C761" s="26"/>
      <c r="D761" s="26"/>
      <c r="E761" s="26"/>
      <c r="F761" s="26"/>
    </row>
    <row r="762" spans="3:6" ht="12.45">
      <c r="C762" s="26"/>
      <c r="D762" s="26"/>
      <c r="E762" s="26"/>
      <c r="F762" s="26"/>
    </row>
    <row r="763" spans="3:6" ht="12.45">
      <c r="C763" s="26"/>
      <c r="D763" s="26"/>
      <c r="E763" s="26"/>
      <c r="F763" s="26"/>
    </row>
    <row r="764" spans="3:6" ht="12.45">
      <c r="C764" s="26"/>
      <c r="D764" s="26"/>
      <c r="E764" s="26"/>
      <c r="F764" s="26"/>
    </row>
    <row r="765" spans="3:6" ht="12.45">
      <c r="C765" s="26"/>
      <c r="D765" s="26"/>
      <c r="E765" s="26"/>
      <c r="F765" s="26"/>
    </row>
    <row r="766" spans="3:6" ht="12.45">
      <c r="C766" s="26"/>
      <c r="D766" s="26"/>
      <c r="E766" s="26"/>
      <c r="F766" s="26"/>
    </row>
    <row r="767" spans="3:6" ht="12.45">
      <c r="C767" s="26"/>
      <c r="D767" s="26"/>
      <c r="E767" s="26"/>
      <c r="F767" s="26"/>
    </row>
    <row r="768" spans="3:6" ht="12.45">
      <c r="C768" s="26"/>
      <c r="D768" s="26"/>
      <c r="E768" s="26"/>
      <c r="F768" s="26"/>
    </row>
    <row r="769" spans="3:6" ht="12.45">
      <c r="C769" s="26"/>
      <c r="D769" s="26"/>
      <c r="E769" s="26"/>
      <c r="F769" s="26"/>
    </row>
    <row r="770" spans="3:6" ht="12.45">
      <c r="C770" s="26"/>
      <c r="D770" s="26"/>
      <c r="E770" s="26"/>
      <c r="F770" s="26"/>
    </row>
    <row r="771" spans="3:6" ht="12.45">
      <c r="C771" s="26"/>
      <c r="D771" s="26"/>
      <c r="E771" s="26"/>
      <c r="F771" s="26"/>
    </row>
    <row r="772" spans="3:6" ht="12.45">
      <c r="C772" s="26"/>
      <c r="D772" s="26"/>
      <c r="E772" s="26"/>
      <c r="F772" s="26"/>
    </row>
    <row r="773" spans="3:6" ht="12.45">
      <c r="C773" s="26"/>
      <c r="D773" s="26"/>
      <c r="E773" s="26"/>
      <c r="F773" s="26"/>
    </row>
    <row r="774" spans="3:6" ht="12.45">
      <c r="C774" s="26"/>
      <c r="D774" s="26"/>
      <c r="E774" s="26"/>
      <c r="F774" s="26"/>
    </row>
    <row r="775" spans="3:6" ht="12.45">
      <c r="C775" s="26"/>
      <c r="D775" s="26"/>
      <c r="E775" s="26"/>
      <c r="F775" s="26"/>
    </row>
    <row r="776" spans="3:6" ht="12.45">
      <c r="C776" s="26"/>
      <c r="D776" s="26"/>
      <c r="E776" s="26"/>
      <c r="F776" s="26"/>
    </row>
    <row r="777" spans="3:6" ht="12.45">
      <c r="C777" s="26"/>
      <c r="D777" s="26"/>
      <c r="E777" s="26"/>
      <c r="F777" s="26"/>
    </row>
    <row r="778" spans="3:6" ht="12.45">
      <c r="C778" s="26"/>
      <c r="D778" s="26"/>
      <c r="E778" s="26"/>
      <c r="F778" s="26"/>
    </row>
    <row r="779" spans="3:6" ht="12.45">
      <c r="C779" s="26"/>
      <c r="D779" s="26"/>
      <c r="E779" s="26"/>
      <c r="F779" s="26"/>
    </row>
    <row r="780" spans="3:6" ht="12.45">
      <c r="C780" s="26"/>
      <c r="D780" s="26"/>
      <c r="E780" s="26"/>
      <c r="F780" s="26"/>
    </row>
    <row r="781" spans="3:6" ht="12.45">
      <c r="C781" s="26"/>
      <c r="D781" s="26"/>
      <c r="E781" s="26"/>
      <c r="F781" s="26"/>
    </row>
    <row r="782" spans="3:6" ht="12.45">
      <c r="C782" s="26"/>
      <c r="D782" s="26"/>
      <c r="E782" s="26"/>
      <c r="F782" s="26"/>
    </row>
    <row r="783" spans="3:6" ht="12.45">
      <c r="C783" s="26"/>
      <c r="D783" s="26"/>
      <c r="E783" s="26"/>
      <c r="F783" s="26"/>
    </row>
    <row r="784" spans="3:6" ht="12.45">
      <c r="C784" s="26"/>
      <c r="D784" s="26"/>
      <c r="E784" s="26"/>
      <c r="F784" s="26"/>
    </row>
    <row r="785" spans="3:6" ht="12.45">
      <c r="C785" s="26"/>
      <c r="D785" s="26"/>
      <c r="E785" s="26"/>
      <c r="F785" s="26"/>
    </row>
    <row r="786" spans="3:6" ht="12.45">
      <c r="C786" s="26"/>
      <c r="D786" s="26"/>
      <c r="E786" s="26"/>
      <c r="F786" s="26"/>
    </row>
    <row r="787" spans="3:6" ht="12.45">
      <c r="C787" s="26"/>
      <c r="D787" s="26"/>
      <c r="E787" s="26"/>
      <c r="F787" s="26"/>
    </row>
    <row r="788" spans="3:6" ht="12.45">
      <c r="C788" s="26"/>
      <c r="D788" s="26"/>
      <c r="E788" s="26"/>
      <c r="F788" s="26"/>
    </row>
    <row r="789" spans="3:6" ht="12.45">
      <c r="C789" s="26"/>
      <c r="D789" s="26"/>
      <c r="E789" s="26"/>
      <c r="F789" s="26"/>
    </row>
    <row r="790" spans="3:6" ht="12.45">
      <c r="C790" s="26"/>
      <c r="D790" s="26"/>
      <c r="E790" s="26"/>
      <c r="F790" s="26"/>
    </row>
    <row r="791" spans="3:6" ht="12.45">
      <c r="C791" s="26"/>
      <c r="D791" s="26"/>
      <c r="E791" s="26"/>
      <c r="F791" s="26"/>
    </row>
    <row r="792" spans="3:6" ht="12.45">
      <c r="C792" s="26"/>
      <c r="D792" s="26"/>
      <c r="E792" s="26"/>
      <c r="F792" s="26"/>
    </row>
    <row r="793" spans="3:6" ht="12.45">
      <c r="C793" s="26"/>
      <c r="D793" s="26"/>
      <c r="E793" s="26"/>
      <c r="F793" s="26"/>
    </row>
    <row r="794" spans="3:6" ht="12.45">
      <c r="C794" s="26"/>
      <c r="D794" s="26"/>
      <c r="E794" s="26"/>
      <c r="F794" s="26"/>
    </row>
    <row r="795" spans="3:6" ht="12.45">
      <c r="C795" s="26"/>
      <c r="D795" s="26"/>
      <c r="E795" s="26"/>
      <c r="F795" s="26"/>
    </row>
    <row r="796" spans="3:6" ht="12.45">
      <c r="C796" s="26"/>
      <c r="D796" s="26"/>
      <c r="E796" s="26"/>
      <c r="F796" s="26"/>
    </row>
    <row r="797" spans="3:6" ht="12.45">
      <c r="C797" s="26"/>
      <c r="D797" s="26"/>
      <c r="E797" s="26"/>
      <c r="F797" s="26"/>
    </row>
    <row r="798" spans="3:6" ht="12.45">
      <c r="C798" s="26"/>
      <c r="D798" s="26"/>
      <c r="E798" s="26"/>
      <c r="F798" s="26"/>
    </row>
    <row r="799" spans="3:6" ht="12.45">
      <c r="C799" s="26"/>
      <c r="D799" s="26"/>
      <c r="E799" s="26"/>
      <c r="F799" s="26"/>
    </row>
    <row r="800" spans="3:6" ht="12.45">
      <c r="C800" s="26"/>
      <c r="D800" s="26"/>
      <c r="E800" s="26"/>
      <c r="F800" s="26"/>
    </row>
    <row r="801" spans="3:6" ht="12.45">
      <c r="C801" s="26"/>
      <c r="D801" s="26"/>
      <c r="E801" s="26"/>
      <c r="F801" s="26"/>
    </row>
    <row r="802" spans="3:6" ht="12.45">
      <c r="C802" s="26"/>
      <c r="D802" s="26"/>
      <c r="E802" s="26"/>
      <c r="F802" s="26"/>
    </row>
    <row r="803" spans="3:6" ht="12.45">
      <c r="C803" s="26"/>
      <c r="D803" s="26"/>
      <c r="E803" s="26"/>
      <c r="F803" s="26"/>
    </row>
    <row r="804" spans="3:6" ht="12.45">
      <c r="C804" s="26"/>
      <c r="D804" s="26"/>
      <c r="E804" s="26"/>
      <c r="F804" s="26"/>
    </row>
    <row r="805" spans="3:6" ht="12.45">
      <c r="C805" s="26"/>
      <c r="D805" s="26"/>
      <c r="E805" s="26"/>
      <c r="F805" s="26"/>
    </row>
    <row r="806" spans="3:6" ht="12.45">
      <c r="C806" s="26"/>
      <c r="D806" s="26"/>
      <c r="E806" s="26"/>
      <c r="F806" s="26"/>
    </row>
    <row r="807" spans="3:6" ht="12.45">
      <c r="C807" s="26"/>
      <c r="D807" s="26"/>
      <c r="E807" s="26"/>
      <c r="F807" s="26"/>
    </row>
    <row r="808" spans="3:6" ht="12.45">
      <c r="C808" s="26"/>
      <c r="D808" s="26"/>
      <c r="E808" s="26"/>
      <c r="F808" s="26"/>
    </row>
    <row r="809" spans="3:6" ht="12.45">
      <c r="C809" s="26"/>
      <c r="D809" s="26"/>
      <c r="E809" s="26"/>
      <c r="F809" s="26"/>
    </row>
    <row r="810" spans="3:6" ht="12.45">
      <c r="C810" s="26"/>
      <c r="D810" s="26"/>
      <c r="E810" s="26"/>
      <c r="F810" s="26"/>
    </row>
    <row r="811" spans="3:6" ht="12.45">
      <c r="C811" s="26"/>
      <c r="D811" s="26"/>
      <c r="E811" s="26"/>
      <c r="F811" s="26"/>
    </row>
    <row r="812" spans="3:6" ht="12.45">
      <c r="C812" s="26"/>
      <c r="D812" s="26"/>
      <c r="E812" s="26"/>
      <c r="F812" s="26"/>
    </row>
    <row r="813" spans="3:6" ht="12.45">
      <c r="C813" s="26"/>
      <c r="D813" s="26"/>
      <c r="E813" s="26"/>
      <c r="F813" s="26"/>
    </row>
    <row r="814" spans="3:6" ht="12.45">
      <c r="C814" s="26"/>
      <c r="D814" s="26"/>
      <c r="E814" s="26"/>
      <c r="F814" s="26"/>
    </row>
    <row r="815" spans="3:6" ht="12.45">
      <c r="C815" s="26"/>
      <c r="D815" s="26"/>
      <c r="E815" s="26"/>
      <c r="F815" s="26"/>
    </row>
    <row r="816" spans="3:6" ht="12.45">
      <c r="C816" s="26"/>
      <c r="D816" s="26"/>
      <c r="E816" s="26"/>
      <c r="F816" s="26"/>
    </row>
    <row r="817" spans="3:6" ht="12.45">
      <c r="C817" s="26"/>
      <c r="D817" s="26"/>
      <c r="E817" s="26"/>
      <c r="F817" s="26"/>
    </row>
    <row r="818" spans="3:6" ht="12.45">
      <c r="C818" s="26"/>
      <c r="D818" s="26"/>
      <c r="E818" s="26"/>
      <c r="F818" s="26"/>
    </row>
    <row r="819" spans="3:6" ht="12.45">
      <c r="C819" s="26"/>
      <c r="D819" s="26"/>
      <c r="E819" s="26"/>
      <c r="F819" s="26"/>
    </row>
    <row r="820" spans="3:6" ht="12.45">
      <c r="C820" s="26"/>
      <c r="D820" s="26"/>
      <c r="E820" s="26"/>
      <c r="F820" s="26"/>
    </row>
    <row r="821" spans="3:6" ht="12.45">
      <c r="C821" s="26"/>
      <c r="D821" s="26"/>
      <c r="E821" s="26"/>
      <c r="F821" s="26"/>
    </row>
    <row r="822" spans="3:6" ht="12.45">
      <c r="C822" s="26"/>
      <c r="D822" s="26"/>
      <c r="E822" s="26"/>
      <c r="F822" s="26"/>
    </row>
    <row r="823" spans="3:6" ht="12.45">
      <c r="C823" s="26"/>
      <c r="D823" s="26"/>
      <c r="E823" s="26"/>
      <c r="F823" s="26"/>
    </row>
    <row r="824" spans="3:6" ht="12.45">
      <c r="C824" s="26"/>
      <c r="D824" s="26"/>
      <c r="E824" s="26"/>
      <c r="F824" s="26"/>
    </row>
    <row r="825" spans="3:6" ht="12.45">
      <c r="C825" s="26"/>
      <c r="D825" s="26"/>
      <c r="E825" s="26"/>
      <c r="F825" s="26"/>
    </row>
    <row r="826" spans="3:6" ht="12.45">
      <c r="C826" s="26"/>
      <c r="D826" s="26"/>
      <c r="E826" s="26"/>
      <c r="F826" s="26"/>
    </row>
    <row r="827" spans="3:6" ht="12.45">
      <c r="C827" s="26"/>
      <c r="D827" s="26"/>
      <c r="E827" s="26"/>
      <c r="F827" s="26"/>
    </row>
    <row r="828" spans="3:6" ht="12.45">
      <c r="C828" s="26"/>
      <c r="D828" s="26"/>
      <c r="E828" s="26"/>
      <c r="F828" s="26"/>
    </row>
    <row r="829" spans="3:6" ht="12.45">
      <c r="C829" s="26"/>
      <c r="D829" s="26"/>
      <c r="E829" s="26"/>
      <c r="F829" s="26"/>
    </row>
    <row r="830" spans="3:6" ht="12.45">
      <c r="C830" s="26"/>
      <c r="D830" s="26"/>
      <c r="E830" s="26"/>
      <c r="F830" s="26"/>
    </row>
    <row r="831" spans="3:6" ht="12.45">
      <c r="C831" s="26"/>
      <c r="D831" s="26"/>
      <c r="E831" s="26"/>
      <c r="F831" s="26"/>
    </row>
    <row r="832" spans="3:6" ht="12.45">
      <c r="C832" s="26"/>
      <c r="D832" s="26"/>
      <c r="E832" s="26"/>
      <c r="F832" s="26"/>
    </row>
    <row r="833" spans="3:6" ht="12.45">
      <c r="C833" s="26"/>
      <c r="D833" s="26"/>
      <c r="E833" s="26"/>
      <c r="F833" s="26"/>
    </row>
    <row r="834" spans="3:6" ht="12.45">
      <c r="C834" s="26"/>
      <c r="D834" s="26"/>
      <c r="E834" s="26"/>
      <c r="F834" s="26"/>
    </row>
    <row r="835" spans="3:6" ht="12.45">
      <c r="C835" s="26"/>
      <c r="D835" s="26"/>
      <c r="E835" s="26"/>
      <c r="F835" s="26"/>
    </row>
    <row r="836" spans="3:6" ht="12.45">
      <c r="C836" s="26"/>
      <c r="D836" s="26"/>
      <c r="E836" s="26"/>
      <c r="F836" s="26"/>
    </row>
    <row r="837" spans="3:6" ht="12.45">
      <c r="C837" s="26"/>
      <c r="D837" s="26"/>
      <c r="E837" s="26"/>
      <c r="F837" s="26"/>
    </row>
    <row r="838" spans="3:6" ht="12.45">
      <c r="C838" s="26"/>
      <c r="D838" s="26"/>
      <c r="E838" s="26"/>
      <c r="F838" s="26"/>
    </row>
    <row r="839" spans="3:6" ht="12.45">
      <c r="C839" s="26"/>
      <c r="D839" s="26"/>
      <c r="E839" s="26"/>
      <c r="F839" s="26"/>
    </row>
    <row r="840" spans="3:6" ht="12.45">
      <c r="C840" s="26"/>
      <c r="D840" s="26"/>
      <c r="E840" s="26"/>
      <c r="F840" s="26"/>
    </row>
    <row r="841" spans="3:6" ht="12.45">
      <c r="C841" s="26"/>
      <c r="D841" s="26"/>
      <c r="E841" s="26"/>
      <c r="F841" s="26"/>
    </row>
    <row r="842" spans="3:6" ht="12.45">
      <c r="C842" s="26"/>
      <c r="D842" s="26"/>
      <c r="E842" s="26"/>
      <c r="F842" s="26"/>
    </row>
    <row r="843" spans="3:6" ht="12.45">
      <c r="C843" s="26"/>
      <c r="D843" s="26"/>
      <c r="E843" s="26"/>
      <c r="F843" s="26"/>
    </row>
    <row r="844" spans="3:6" ht="12.45">
      <c r="C844" s="26"/>
      <c r="D844" s="26"/>
      <c r="E844" s="26"/>
      <c r="F844" s="26"/>
    </row>
    <row r="845" spans="3:6" ht="12.45">
      <c r="C845" s="26"/>
      <c r="D845" s="26"/>
      <c r="E845" s="26"/>
      <c r="F845" s="26"/>
    </row>
    <row r="846" spans="3:6" ht="12.45">
      <c r="C846" s="26"/>
      <c r="D846" s="26"/>
      <c r="E846" s="26"/>
      <c r="F846" s="26"/>
    </row>
    <row r="847" spans="3:6" ht="12.45">
      <c r="C847" s="26"/>
      <c r="D847" s="26"/>
      <c r="E847" s="26"/>
      <c r="F847" s="26"/>
    </row>
    <row r="848" spans="3:6" ht="12.45">
      <c r="C848" s="26"/>
      <c r="D848" s="26"/>
      <c r="E848" s="26"/>
      <c r="F848" s="26"/>
    </row>
    <row r="849" spans="3:6" ht="12.45">
      <c r="C849" s="26"/>
      <c r="D849" s="26"/>
      <c r="E849" s="26"/>
      <c r="F849" s="26"/>
    </row>
    <row r="850" spans="3:6" ht="12.45">
      <c r="C850" s="26"/>
      <c r="D850" s="26"/>
      <c r="E850" s="26"/>
      <c r="F850" s="26"/>
    </row>
    <row r="851" spans="3:6" ht="12.45">
      <c r="C851" s="26"/>
      <c r="D851" s="26"/>
      <c r="E851" s="26"/>
      <c r="F851" s="26"/>
    </row>
    <row r="852" spans="3:6" ht="12.45">
      <c r="C852" s="26"/>
      <c r="D852" s="26"/>
      <c r="E852" s="26"/>
      <c r="F852" s="26"/>
    </row>
    <row r="853" spans="3:6" ht="12.45">
      <c r="C853" s="26"/>
      <c r="D853" s="26"/>
      <c r="E853" s="26"/>
      <c r="F853" s="26"/>
    </row>
    <row r="854" spans="3:6" ht="12.45">
      <c r="C854" s="26"/>
      <c r="D854" s="26"/>
      <c r="E854" s="26"/>
      <c r="F854" s="26"/>
    </row>
    <row r="855" spans="3:6" ht="12.45">
      <c r="C855" s="26"/>
      <c r="D855" s="26"/>
      <c r="E855" s="26"/>
      <c r="F855" s="26"/>
    </row>
    <row r="856" spans="3:6" ht="12.45">
      <c r="C856" s="26"/>
      <c r="D856" s="26"/>
      <c r="E856" s="26"/>
      <c r="F856" s="26"/>
    </row>
    <row r="857" spans="3:6" ht="12.45">
      <c r="C857" s="26"/>
      <c r="D857" s="26"/>
      <c r="E857" s="26"/>
      <c r="F857" s="26"/>
    </row>
    <row r="858" spans="3:6" ht="12.45">
      <c r="C858" s="26"/>
      <c r="D858" s="26"/>
      <c r="E858" s="26"/>
      <c r="F858" s="26"/>
    </row>
    <row r="859" spans="3:6" ht="12.45">
      <c r="C859" s="26"/>
      <c r="D859" s="26"/>
      <c r="E859" s="26"/>
      <c r="F859" s="26"/>
    </row>
    <row r="860" spans="3:6" ht="12.45">
      <c r="C860" s="26"/>
      <c r="D860" s="26"/>
      <c r="E860" s="26"/>
      <c r="F860" s="26"/>
    </row>
    <row r="861" spans="3:6" ht="12.45">
      <c r="C861" s="26"/>
      <c r="D861" s="26"/>
      <c r="E861" s="26"/>
      <c r="F861" s="26"/>
    </row>
    <row r="862" spans="3:6" ht="12.45">
      <c r="C862" s="26"/>
      <c r="D862" s="26"/>
      <c r="E862" s="26"/>
      <c r="F862" s="26"/>
    </row>
    <row r="863" spans="3:6" ht="12.45">
      <c r="C863" s="26"/>
      <c r="D863" s="26"/>
      <c r="E863" s="26"/>
      <c r="F863" s="26"/>
    </row>
    <row r="864" spans="3:6" ht="12.45">
      <c r="C864" s="26"/>
      <c r="D864" s="26"/>
      <c r="E864" s="26"/>
      <c r="F864" s="26"/>
    </row>
    <row r="865" spans="3:6" ht="12.45">
      <c r="C865" s="26"/>
      <c r="D865" s="26"/>
      <c r="E865" s="26"/>
      <c r="F865" s="26"/>
    </row>
    <row r="866" spans="3:6" ht="12.45">
      <c r="C866" s="26"/>
      <c r="D866" s="26"/>
      <c r="E866" s="26"/>
      <c r="F866" s="26"/>
    </row>
    <row r="867" spans="3:6" ht="12.45">
      <c r="C867" s="26"/>
      <c r="D867" s="26"/>
      <c r="E867" s="26"/>
      <c r="F867" s="26"/>
    </row>
    <row r="868" spans="3:6" ht="12.45">
      <c r="C868" s="26"/>
      <c r="D868" s="26"/>
      <c r="E868" s="26"/>
      <c r="F868" s="26"/>
    </row>
    <row r="869" spans="3:6" ht="12.45">
      <c r="C869" s="26"/>
      <c r="D869" s="26"/>
      <c r="E869" s="26"/>
      <c r="F869" s="26"/>
    </row>
    <row r="870" spans="3:6" ht="12.45">
      <c r="C870" s="26"/>
      <c r="D870" s="26"/>
      <c r="E870" s="26"/>
      <c r="F870" s="26"/>
    </row>
    <row r="871" spans="3:6" ht="12.45">
      <c r="C871" s="26"/>
      <c r="D871" s="26"/>
      <c r="E871" s="26"/>
      <c r="F871" s="26"/>
    </row>
    <row r="872" spans="3:6" ht="12.45">
      <c r="C872" s="26"/>
      <c r="D872" s="26"/>
      <c r="E872" s="26"/>
      <c r="F872" s="26"/>
    </row>
    <row r="873" spans="3:6" ht="12.45">
      <c r="C873" s="26"/>
      <c r="D873" s="26"/>
      <c r="E873" s="26"/>
      <c r="F873" s="26"/>
    </row>
    <row r="874" spans="3:6" ht="12.45">
      <c r="C874" s="26"/>
      <c r="D874" s="26"/>
      <c r="E874" s="26"/>
      <c r="F874" s="26"/>
    </row>
    <row r="875" spans="3:6" ht="12.45">
      <c r="C875" s="26"/>
      <c r="D875" s="26"/>
      <c r="E875" s="26"/>
      <c r="F875" s="26"/>
    </row>
    <row r="876" spans="3:6" ht="12.45">
      <c r="C876" s="26"/>
      <c r="D876" s="26"/>
      <c r="E876" s="26"/>
      <c r="F876" s="26"/>
    </row>
    <row r="877" spans="3:6" ht="12.45">
      <c r="C877" s="26"/>
      <c r="D877" s="26"/>
      <c r="E877" s="26"/>
      <c r="F877" s="26"/>
    </row>
    <row r="878" spans="3:6" ht="12.45">
      <c r="C878" s="26"/>
      <c r="D878" s="26"/>
      <c r="E878" s="26"/>
      <c r="F878" s="26"/>
    </row>
    <row r="879" spans="3:6" ht="12.45">
      <c r="C879" s="26"/>
      <c r="D879" s="26"/>
      <c r="E879" s="26"/>
      <c r="F879" s="26"/>
    </row>
    <row r="880" spans="3:6" ht="12.45">
      <c r="C880" s="26"/>
      <c r="D880" s="26"/>
      <c r="E880" s="26"/>
      <c r="F880" s="26"/>
    </row>
    <row r="881" spans="3:6" ht="12.45">
      <c r="C881" s="26"/>
      <c r="D881" s="26"/>
      <c r="E881" s="26"/>
      <c r="F881" s="26"/>
    </row>
    <row r="882" spans="3:6" ht="12.45">
      <c r="C882" s="26"/>
      <c r="D882" s="26"/>
      <c r="E882" s="26"/>
      <c r="F882" s="26"/>
    </row>
    <row r="883" spans="3:6" ht="12.45">
      <c r="C883" s="26"/>
      <c r="D883" s="26"/>
      <c r="E883" s="26"/>
      <c r="F883" s="26"/>
    </row>
    <row r="884" spans="3:6" ht="12.45">
      <c r="C884" s="26"/>
      <c r="D884" s="26"/>
      <c r="E884" s="26"/>
      <c r="F884" s="26"/>
    </row>
    <row r="885" spans="3:6" ht="12.45">
      <c r="C885" s="26"/>
      <c r="D885" s="26"/>
      <c r="E885" s="26"/>
      <c r="F885" s="26"/>
    </row>
    <row r="886" spans="3:6" ht="12.45">
      <c r="C886" s="26"/>
      <c r="D886" s="26"/>
      <c r="E886" s="26"/>
      <c r="F886" s="26"/>
    </row>
    <row r="887" spans="3:6" ht="12.45">
      <c r="C887" s="26"/>
      <c r="D887" s="26"/>
      <c r="E887" s="26"/>
      <c r="F887" s="26"/>
    </row>
    <row r="888" spans="3:6" ht="12.45">
      <c r="C888" s="26"/>
      <c r="D888" s="26"/>
      <c r="E888" s="26"/>
      <c r="F888" s="26"/>
    </row>
    <row r="889" spans="3:6" ht="12.45">
      <c r="C889" s="26"/>
      <c r="D889" s="26"/>
      <c r="E889" s="26"/>
      <c r="F889" s="26"/>
    </row>
    <row r="890" spans="3:6" ht="12.45">
      <c r="C890" s="26"/>
      <c r="D890" s="26"/>
      <c r="E890" s="26"/>
      <c r="F890" s="26"/>
    </row>
    <row r="891" spans="3:6" ht="12.45">
      <c r="C891" s="26"/>
      <c r="D891" s="26"/>
      <c r="E891" s="26"/>
      <c r="F891" s="26"/>
    </row>
    <row r="892" spans="3:6" ht="12.45">
      <c r="C892" s="26"/>
      <c r="D892" s="26"/>
      <c r="E892" s="26"/>
      <c r="F892" s="26"/>
    </row>
    <row r="893" spans="3:6" ht="12.45">
      <c r="C893" s="26"/>
      <c r="D893" s="26"/>
      <c r="E893" s="26"/>
      <c r="F893" s="26"/>
    </row>
    <row r="894" spans="3:6" ht="12.45">
      <c r="C894" s="26"/>
      <c r="D894" s="26"/>
      <c r="E894" s="26"/>
      <c r="F894" s="26"/>
    </row>
    <row r="895" spans="3:6" ht="12.45">
      <c r="C895" s="26"/>
      <c r="D895" s="26"/>
      <c r="E895" s="26"/>
      <c r="F895" s="26"/>
    </row>
    <row r="896" spans="3:6" ht="12.45">
      <c r="C896" s="26"/>
      <c r="D896" s="26"/>
      <c r="E896" s="26"/>
      <c r="F896" s="26"/>
    </row>
    <row r="897" spans="3:6" ht="12.45">
      <c r="C897" s="26"/>
      <c r="D897" s="26"/>
      <c r="E897" s="26"/>
      <c r="F897" s="26"/>
    </row>
    <row r="898" spans="3:6" ht="12.45">
      <c r="C898" s="26"/>
      <c r="D898" s="26"/>
      <c r="E898" s="26"/>
      <c r="F898" s="26"/>
    </row>
    <row r="899" spans="3:6" ht="12.45">
      <c r="C899" s="26"/>
      <c r="D899" s="26"/>
      <c r="E899" s="26"/>
      <c r="F899" s="26"/>
    </row>
    <row r="900" spans="3:6" ht="12.45">
      <c r="C900" s="26"/>
      <c r="D900" s="26"/>
      <c r="E900" s="26"/>
      <c r="F900" s="26"/>
    </row>
    <row r="901" spans="3:6" ht="12.45">
      <c r="C901" s="26"/>
      <c r="D901" s="26"/>
      <c r="E901" s="26"/>
      <c r="F901" s="26"/>
    </row>
    <row r="902" spans="3:6" ht="12.45">
      <c r="C902" s="26"/>
      <c r="D902" s="26"/>
      <c r="E902" s="26"/>
      <c r="F902" s="26"/>
    </row>
    <row r="903" spans="3:6" ht="12.45">
      <c r="C903" s="26"/>
      <c r="D903" s="26"/>
      <c r="E903" s="26"/>
      <c r="F903" s="26"/>
    </row>
    <row r="904" spans="3:6" ht="12.45">
      <c r="C904" s="26"/>
      <c r="D904" s="26"/>
      <c r="E904" s="26"/>
      <c r="F904" s="26"/>
    </row>
    <row r="905" spans="3:6" ht="12.45">
      <c r="C905" s="26"/>
      <c r="D905" s="26"/>
      <c r="E905" s="26"/>
      <c r="F905" s="26"/>
    </row>
    <row r="906" spans="3:6" ht="12.45">
      <c r="C906" s="26"/>
      <c r="D906" s="26"/>
      <c r="E906" s="26"/>
      <c r="F906" s="26"/>
    </row>
    <row r="907" spans="3:6" ht="12.45">
      <c r="C907" s="26"/>
      <c r="D907" s="26"/>
      <c r="E907" s="26"/>
      <c r="F907" s="26"/>
    </row>
    <row r="908" spans="3:6" ht="12.45">
      <c r="C908" s="26"/>
      <c r="D908" s="26"/>
      <c r="E908" s="26"/>
      <c r="F908" s="26"/>
    </row>
    <row r="909" spans="3:6" ht="12.45">
      <c r="C909" s="26"/>
      <c r="D909" s="26"/>
      <c r="E909" s="26"/>
      <c r="F909" s="26"/>
    </row>
    <row r="910" spans="3:6" ht="12.45">
      <c r="C910" s="26"/>
      <c r="D910" s="26"/>
      <c r="E910" s="26"/>
      <c r="F910" s="26"/>
    </row>
    <row r="911" spans="3:6" ht="12.45">
      <c r="C911" s="26"/>
      <c r="D911" s="26"/>
      <c r="E911" s="26"/>
      <c r="F911" s="26"/>
    </row>
    <row r="912" spans="3:6" ht="12.45">
      <c r="C912" s="26"/>
      <c r="D912" s="26"/>
      <c r="E912" s="26"/>
      <c r="F912" s="26"/>
    </row>
    <row r="913" spans="3:6" ht="12.45">
      <c r="C913" s="26"/>
      <c r="D913" s="26"/>
      <c r="E913" s="26"/>
      <c r="F913" s="26"/>
    </row>
    <row r="914" spans="3:6" ht="12.45">
      <c r="C914" s="26"/>
      <c r="D914" s="26"/>
      <c r="E914" s="26"/>
      <c r="F914" s="26"/>
    </row>
    <row r="915" spans="3:6" ht="12.45">
      <c r="C915" s="26"/>
      <c r="D915" s="26"/>
      <c r="E915" s="26"/>
      <c r="F915" s="26"/>
    </row>
    <row r="916" spans="3:6" ht="12.45">
      <c r="C916" s="26"/>
      <c r="D916" s="26"/>
      <c r="E916" s="26"/>
      <c r="F916" s="26"/>
    </row>
    <row r="917" spans="3:6" ht="12.45">
      <c r="C917" s="26"/>
      <c r="D917" s="26"/>
      <c r="E917" s="26"/>
      <c r="F917" s="26"/>
    </row>
    <row r="918" spans="3:6" ht="12.45">
      <c r="C918" s="26"/>
      <c r="D918" s="26"/>
      <c r="E918" s="26"/>
      <c r="F918" s="26"/>
    </row>
    <row r="919" spans="3:6" ht="12.45">
      <c r="C919" s="26"/>
      <c r="D919" s="26"/>
      <c r="E919" s="26"/>
      <c r="F919" s="26"/>
    </row>
    <row r="920" spans="3:6" ht="12.45">
      <c r="C920" s="26"/>
      <c r="D920" s="26"/>
      <c r="E920" s="26"/>
      <c r="F920" s="26"/>
    </row>
    <row r="921" spans="3:6" ht="12.45">
      <c r="C921" s="26"/>
      <c r="D921" s="26"/>
      <c r="E921" s="26"/>
      <c r="F921" s="26"/>
    </row>
    <row r="922" spans="3:6" ht="12.45">
      <c r="C922" s="26"/>
      <c r="D922" s="26"/>
      <c r="E922" s="26"/>
      <c r="F922" s="26"/>
    </row>
    <row r="923" spans="3:6" ht="12.45">
      <c r="C923" s="26"/>
      <c r="D923" s="26"/>
      <c r="E923" s="26"/>
      <c r="F923" s="26"/>
    </row>
    <row r="924" spans="3:6" ht="12.45">
      <c r="C924" s="26"/>
      <c r="D924" s="26"/>
      <c r="E924" s="26"/>
      <c r="F924" s="26"/>
    </row>
    <row r="925" spans="3:6" ht="12.45">
      <c r="C925" s="26"/>
      <c r="D925" s="26"/>
      <c r="E925" s="26"/>
      <c r="F925" s="26"/>
    </row>
    <row r="926" spans="3:6" ht="12.45">
      <c r="C926" s="26"/>
      <c r="D926" s="26"/>
      <c r="E926" s="26"/>
      <c r="F926" s="26"/>
    </row>
    <row r="927" spans="3:6" ht="12.45">
      <c r="C927" s="26"/>
      <c r="D927" s="26"/>
      <c r="E927" s="26"/>
      <c r="F927" s="26"/>
    </row>
    <row r="928" spans="3:6" ht="12.45">
      <c r="C928" s="26"/>
      <c r="D928" s="26"/>
      <c r="E928" s="26"/>
      <c r="F928" s="26"/>
    </row>
    <row r="929" spans="3:6" ht="12.45">
      <c r="C929" s="26"/>
      <c r="D929" s="26"/>
      <c r="E929" s="26"/>
      <c r="F929" s="26"/>
    </row>
    <row r="930" spans="3:6" ht="12.45">
      <c r="C930" s="26"/>
      <c r="D930" s="26"/>
      <c r="E930" s="26"/>
      <c r="F930" s="26"/>
    </row>
    <row r="931" spans="3:6" ht="12.45">
      <c r="C931" s="26"/>
      <c r="D931" s="26"/>
      <c r="E931" s="26"/>
      <c r="F931" s="26"/>
    </row>
    <row r="932" spans="3:6" ht="12.45">
      <c r="C932" s="26"/>
      <c r="D932" s="26"/>
      <c r="E932" s="26"/>
      <c r="F932" s="26"/>
    </row>
    <row r="933" spans="3:6" ht="12.45">
      <c r="C933" s="26"/>
      <c r="D933" s="26"/>
      <c r="E933" s="26"/>
      <c r="F933" s="26"/>
    </row>
    <row r="934" spans="3:6" ht="12.45">
      <c r="C934" s="26"/>
      <c r="D934" s="26"/>
      <c r="E934" s="26"/>
      <c r="F934" s="26"/>
    </row>
    <row r="935" spans="3:6" ht="12.45">
      <c r="C935" s="26"/>
      <c r="D935" s="26"/>
      <c r="E935" s="26"/>
      <c r="F935" s="26"/>
    </row>
    <row r="936" spans="3:6" ht="12.45">
      <c r="C936" s="26"/>
      <c r="D936" s="26"/>
      <c r="E936" s="26"/>
      <c r="F936" s="26"/>
    </row>
    <row r="937" spans="3:6" ht="12.45">
      <c r="C937" s="26"/>
      <c r="D937" s="26"/>
      <c r="E937" s="26"/>
      <c r="F937" s="26"/>
    </row>
    <row r="938" spans="3:6" ht="12.45">
      <c r="C938" s="26"/>
      <c r="D938" s="26"/>
      <c r="E938" s="26"/>
      <c r="F938" s="26"/>
    </row>
    <row r="939" spans="3:6" ht="12.45">
      <c r="C939" s="26"/>
      <c r="D939" s="26"/>
      <c r="E939" s="26"/>
      <c r="F939" s="26"/>
    </row>
    <row r="940" spans="3:6" ht="12.45">
      <c r="C940" s="26"/>
      <c r="D940" s="26"/>
      <c r="E940" s="26"/>
      <c r="F940" s="26"/>
    </row>
    <row r="941" spans="3:6" ht="12.45">
      <c r="C941" s="26"/>
      <c r="D941" s="26"/>
      <c r="E941" s="26"/>
      <c r="F941" s="26"/>
    </row>
    <row r="942" spans="3:6" ht="12.45">
      <c r="C942" s="26"/>
      <c r="D942" s="26"/>
      <c r="E942" s="26"/>
      <c r="F942" s="26"/>
    </row>
    <row r="943" spans="3:6" ht="12.45">
      <c r="C943" s="26"/>
      <c r="D943" s="26"/>
      <c r="E943" s="26"/>
      <c r="F943" s="26"/>
    </row>
    <row r="944" spans="3:6" ht="12.45">
      <c r="C944" s="26"/>
      <c r="D944" s="26"/>
      <c r="E944" s="26"/>
      <c r="F944" s="26"/>
    </row>
    <row r="945" spans="3:6" ht="12.45">
      <c r="C945" s="26"/>
      <c r="D945" s="26"/>
      <c r="E945" s="26"/>
      <c r="F945" s="26"/>
    </row>
    <row r="946" spans="3:6" ht="12.45">
      <c r="C946" s="26"/>
      <c r="D946" s="26"/>
      <c r="E946" s="26"/>
      <c r="F946" s="26"/>
    </row>
    <row r="947" spans="3:6" ht="12.45">
      <c r="C947" s="26"/>
      <c r="D947" s="26"/>
      <c r="E947" s="26"/>
      <c r="F947" s="26"/>
    </row>
    <row r="948" spans="3:6" ht="12.45">
      <c r="C948" s="26"/>
      <c r="D948" s="26"/>
      <c r="E948" s="26"/>
      <c r="F948" s="26"/>
    </row>
    <row r="949" spans="3:6" ht="12.45">
      <c r="C949" s="26"/>
      <c r="D949" s="26"/>
      <c r="E949" s="26"/>
      <c r="F949" s="26"/>
    </row>
    <row r="950" spans="3:6" ht="12.45">
      <c r="C950" s="26"/>
      <c r="D950" s="26"/>
      <c r="E950" s="26"/>
      <c r="F950" s="26"/>
    </row>
    <row r="951" spans="3:6" ht="12.45">
      <c r="C951" s="26"/>
      <c r="D951" s="26"/>
      <c r="E951" s="26"/>
      <c r="F951" s="26"/>
    </row>
    <row r="952" spans="3:6" ht="12.45">
      <c r="C952" s="26"/>
      <c r="D952" s="26"/>
      <c r="E952" s="26"/>
      <c r="F952" s="26"/>
    </row>
    <row r="953" spans="3:6" ht="12.45">
      <c r="C953" s="26"/>
      <c r="D953" s="26"/>
      <c r="E953" s="26"/>
      <c r="F953" s="26"/>
    </row>
    <row r="954" spans="3:6" ht="12.45">
      <c r="C954" s="26"/>
      <c r="D954" s="26"/>
      <c r="E954" s="26"/>
      <c r="F954" s="26"/>
    </row>
    <row r="955" spans="3:6" ht="12.45">
      <c r="C955" s="26"/>
      <c r="D955" s="26"/>
      <c r="E955" s="26"/>
      <c r="F955" s="26"/>
    </row>
    <row r="956" spans="3:6" ht="12.45">
      <c r="C956" s="26"/>
      <c r="D956" s="26"/>
      <c r="E956" s="26"/>
      <c r="F956" s="26"/>
    </row>
    <row r="957" spans="3:6" ht="12.45">
      <c r="C957" s="26"/>
      <c r="D957" s="26"/>
      <c r="E957" s="26"/>
      <c r="F957" s="26"/>
    </row>
    <row r="958" spans="3:6" ht="12.45">
      <c r="C958" s="26"/>
      <c r="D958" s="26"/>
      <c r="E958" s="26"/>
      <c r="F958" s="26"/>
    </row>
    <row r="959" spans="3:6" ht="12.45">
      <c r="C959" s="26"/>
      <c r="D959" s="26"/>
      <c r="E959" s="26"/>
      <c r="F959" s="26"/>
    </row>
    <row r="960" spans="3:6" ht="12.45">
      <c r="C960" s="26"/>
      <c r="D960" s="26"/>
      <c r="E960" s="26"/>
      <c r="F960" s="26"/>
    </row>
    <row r="961" spans="3:6" ht="12.45">
      <c r="C961" s="26"/>
      <c r="D961" s="26"/>
      <c r="E961" s="26"/>
      <c r="F961" s="26"/>
    </row>
    <row r="962" spans="3:6" ht="12.45">
      <c r="C962" s="26"/>
      <c r="D962" s="26"/>
      <c r="E962" s="26"/>
      <c r="F962" s="26"/>
    </row>
    <row r="963" spans="3:6" ht="12.45">
      <c r="C963" s="26"/>
      <c r="D963" s="26"/>
      <c r="E963" s="26"/>
      <c r="F963" s="26"/>
    </row>
    <row r="964" spans="3:6" ht="12.45">
      <c r="C964" s="26"/>
      <c r="D964" s="26"/>
      <c r="E964" s="26"/>
      <c r="F964" s="26"/>
    </row>
    <row r="965" spans="3:6" ht="12.45">
      <c r="C965" s="26"/>
      <c r="D965" s="26"/>
      <c r="E965" s="26"/>
      <c r="F965" s="26"/>
    </row>
    <row r="966" spans="3:6" ht="12.45">
      <c r="C966" s="26"/>
      <c r="D966" s="26"/>
      <c r="E966" s="26"/>
      <c r="F966" s="26"/>
    </row>
    <row r="967" spans="3:6" ht="12.45">
      <c r="C967" s="26"/>
      <c r="D967" s="26"/>
      <c r="E967" s="26"/>
      <c r="F967" s="26"/>
    </row>
    <row r="968" spans="3:6" ht="12.45">
      <c r="C968" s="26"/>
      <c r="D968" s="26"/>
      <c r="E968" s="26"/>
      <c r="F968" s="26"/>
    </row>
    <row r="969" spans="3:6" ht="12.45">
      <c r="C969" s="26"/>
      <c r="D969" s="26"/>
      <c r="E969" s="26"/>
      <c r="F969" s="26"/>
    </row>
    <row r="970" spans="3:6" ht="12.45">
      <c r="C970" s="26"/>
      <c r="D970" s="26"/>
      <c r="E970" s="26"/>
      <c r="F970" s="26"/>
    </row>
    <row r="971" spans="3:6" ht="12.45">
      <c r="C971" s="26"/>
      <c r="D971" s="26"/>
      <c r="E971" s="26"/>
      <c r="F971" s="26"/>
    </row>
    <row r="972" spans="3:6" ht="12.45">
      <c r="C972" s="26"/>
      <c r="D972" s="26"/>
      <c r="E972" s="26"/>
      <c r="F972" s="26"/>
    </row>
    <row r="973" spans="3:6" ht="12.45">
      <c r="C973" s="26"/>
      <c r="D973" s="26"/>
      <c r="E973" s="26"/>
      <c r="F973" s="26"/>
    </row>
    <row r="974" spans="3:6" ht="12.45">
      <c r="C974" s="26"/>
      <c r="D974" s="26"/>
      <c r="E974" s="26"/>
      <c r="F974" s="26"/>
    </row>
    <row r="975" spans="3:6" ht="12.45">
      <c r="C975" s="26"/>
      <c r="D975" s="26"/>
      <c r="E975" s="26"/>
      <c r="F975" s="26"/>
    </row>
    <row r="976" spans="3:6" ht="12.45">
      <c r="C976" s="26"/>
      <c r="D976" s="26"/>
      <c r="E976" s="26"/>
      <c r="F976" s="26"/>
    </row>
    <row r="977" spans="3:6" ht="12.45">
      <c r="C977" s="26"/>
      <c r="D977" s="26"/>
      <c r="E977" s="26"/>
      <c r="F977" s="26"/>
    </row>
    <row r="978" spans="3:6" ht="12.45">
      <c r="C978" s="26"/>
      <c r="D978" s="26"/>
      <c r="E978" s="26"/>
      <c r="F978" s="26"/>
    </row>
    <row r="979" spans="3:6" ht="12.45">
      <c r="C979" s="26"/>
      <c r="D979" s="26"/>
      <c r="E979" s="26"/>
      <c r="F979" s="26"/>
    </row>
    <row r="980" spans="3:6" ht="12.45">
      <c r="C980" s="26"/>
      <c r="D980" s="26"/>
      <c r="E980" s="26"/>
      <c r="F980" s="26"/>
    </row>
    <row r="981" spans="3:6" ht="12.45">
      <c r="C981" s="26"/>
      <c r="D981" s="26"/>
      <c r="E981" s="26"/>
      <c r="F981" s="26"/>
    </row>
    <row r="982" spans="3:6" ht="12.45">
      <c r="C982" s="26"/>
      <c r="D982" s="26"/>
      <c r="E982" s="26"/>
      <c r="F982" s="26"/>
    </row>
    <row r="983" spans="3:6" ht="12.45">
      <c r="C983" s="26"/>
      <c r="D983" s="26"/>
      <c r="E983" s="26"/>
      <c r="F983" s="26"/>
    </row>
    <row r="984" spans="3:6" ht="12.45">
      <c r="C984" s="26"/>
      <c r="D984" s="26"/>
      <c r="E984" s="26"/>
      <c r="F984" s="26"/>
    </row>
    <row r="985" spans="3:6" ht="12.45">
      <c r="C985" s="26"/>
      <c r="D985" s="26"/>
      <c r="E985" s="26"/>
      <c r="F985" s="26"/>
    </row>
    <row r="986" spans="3:6" ht="12.45">
      <c r="C986" s="26"/>
      <c r="D986" s="26"/>
      <c r="E986" s="26"/>
      <c r="F986" s="26"/>
    </row>
    <row r="987" spans="3:6" ht="12.45">
      <c r="C987" s="26"/>
      <c r="D987" s="26"/>
      <c r="E987" s="26"/>
      <c r="F987" s="26"/>
    </row>
    <row r="988" spans="3:6" ht="12.45">
      <c r="C988" s="26"/>
      <c r="D988" s="26"/>
      <c r="E988" s="26"/>
      <c r="F988" s="26"/>
    </row>
    <row r="989" spans="3:6" ht="12.45">
      <c r="C989" s="26"/>
      <c r="D989" s="26"/>
      <c r="E989" s="26"/>
      <c r="F989" s="26"/>
    </row>
    <row r="990" spans="3:6" ht="12.45">
      <c r="C990" s="26"/>
      <c r="D990" s="26"/>
      <c r="E990" s="26"/>
      <c r="F990" s="26"/>
    </row>
    <row r="991" spans="3:6" ht="12.45">
      <c r="C991" s="26"/>
      <c r="D991" s="26"/>
      <c r="E991" s="26"/>
      <c r="F991" s="26"/>
    </row>
    <row r="992" spans="3:6" ht="12.45">
      <c r="C992" s="26"/>
      <c r="D992" s="26"/>
      <c r="E992" s="26"/>
      <c r="F992" s="26"/>
    </row>
    <row r="993" spans="3:6" ht="12.45">
      <c r="C993" s="26"/>
      <c r="D993" s="26"/>
      <c r="E993" s="26"/>
      <c r="F993" s="26"/>
    </row>
    <row r="994" spans="3:6" ht="12.45">
      <c r="C994" s="26"/>
      <c r="D994" s="26"/>
      <c r="E994" s="26"/>
      <c r="F994" s="26"/>
    </row>
    <row r="995" spans="3:6" ht="12.45">
      <c r="C995" s="26"/>
      <c r="D995" s="26"/>
      <c r="E995" s="26"/>
      <c r="F995" s="26"/>
    </row>
    <row r="996" spans="3:6" ht="12.45">
      <c r="C996" s="26"/>
      <c r="D996" s="26"/>
      <c r="E996" s="26"/>
      <c r="F996" s="26"/>
    </row>
    <row r="997" spans="3:6" ht="12.45">
      <c r="C997" s="26"/>
      <c r="D997" s="26"/>
      <c r="E997" s="26"/>
      <c r="F997" s="26"/>
    </row>
    <row r="998" spans="3:6" ht="12.45">
      <c r="C998" s="26"/>
      <c r="D998" s="26"/>
      <c r="E998" s="26"/>
      <c r="F998" s="26"/>
    </row>
    <row r="999" spans="3:6" ht="12.45">
      <c r="C999" s="26"/>
      <c r="D999" s="26"/>
      <c r="E999" s="26"/>
      <c r="F999" s="26"/>
    </row>
    <row r="1000" spans="3:6" ht="12.45">
      <c r="C1000" s="26"/>
      <c r="D1000" s="26"/>
      <c r="E1000" s="26"/>
      <c r="F1000" s="26"/>
    </row>
  </sheetData>
  <autoFilter ref="B1:AF2" xr:uid="{00000000-0009-0000-0000-000005000000}"/>
  <hyperlinks>
    <hyperlink ref="Q2" r:id="rId1" display="https://www.boliga.dk/maegler/427" xr:uid="{00000000-0004-0000-0500-000000000000}"/>
    <hyperlink ref="Q3" r:id="rId2" display="https://www.boliga.dk/maegler/17981" xr:uid="{00000000-0004-0000-0500-000001000000}"/>
    <hyperlink ref="Q4" r:id="rId3" display="https://www.boliga.dk/maegler/18064" xr:uid="{00000000-0004-0000-0500-000002000000}"/>
    <hyperlink ref="Q5" r:id="rId4" display="https://www.boliga.dk/maegler/1052" xr:uid="{00000000-0004-0000-0500-000003000000}"/>
    <hyperlink ref="Q6" r:id="rId5" display="https://www.boliga.dk/maegler/1080" xr:uid="{00000000-0004-0000-0500-000004000000}"/>
    <hyperlink ref="Q7" r:id="rId6" display="https://www.boliga.dk/maegler/504" xr:uid="{00000000-0004-0000-0500-000005000000}"/>
    <hyperlink ref="Q8" r:id="rId7" display="https://www.boliga.dk/maegler/116" xr:uid="{00000000-0004-0000-0500-000006000000}"/>
    <hyperlink ref="Q9" r:id="rId8" display="https://www.boliga.dk/maegler/324" xr:uid="{00000000-0004-0000-0500-000007000000}"/>
    <hyperlink ref="Q10" r:id="rId9" display="https://www.boliga.dk/maegler/137" xr:uid="{00000000-0004-0000-0500-000008000000}"/>
    <hyperlink ref="Q11" r:id="rId10" display="https://www.boliga.dk/maegler/572" xr:uid="{00000000-0004-0000-0500-000009000000}"/>
    <hyperlink ref="Q12" r:id="rId11" display="https://www.boliga.dk/maegler/884" xr:uid="{00000000-0004-0000-0500-00000A000000}"/>
    <hyperlink ref="Q13" r:id="rId12" display="https://www.boliga.dk/maegler/150" xr:uid="{00000000-0004-0000-0500-00000B000000}"/>
    <hyperlink ref="Q14" r:id="rId13" display="https://www.boliga.dk/maegler/142" xr:uid="{00000000-0004-0000-0500-00000C000000}"/>
    <hyperlink ref="Q15" r:id="rId14" display="https://www.boliga.dk/maegler/18703" xr:uid="{00000000-0004-0000-0500-00000D000000}"/>
    <hyperlink ref="Q16" r:id="rId15" display="https://www.boliga.dk/maegler/17485" xr:uid="{00000000-0004-0000-0500-00000E000000}"/>
    <hyperlink ref="Q17" r:id="rId16" display="https://www.boliga.dk/maegler/143" xr:uid="{00000000-0004-0000-0500-00000F000000}"/>
    <hyperlink ref="Q18" r:id="rId17" display="https://www.boliga.dk/maegler/775" xr:uid="{00000000-0004-0000-0500-000010000000}"/>
    <hyperlink ref="Q19" r:id="rId18" display="https://www.boliga.dk/maegler/101" xr:uid="{00000000-0004-0000-0500-000011000000}"/>
    <hyperlink ref="Q20" r:id="rId19" display="https://www.boliga.dk/maegler/168" xr:uid="{00000000-0004-0000-0500-000012000000}"/>
    <hyperlink ref="Q21" r:id="rId20" display="https://www.boliga.dk/maegler/835" xr:uid="{00000000-0004-0000-0500-000013000000}"/>
    <hyperlink ref="Q22" r:id="rId21" display="https://www.boliga.dk/maegler/337" xr:uid="{00000000-0004-0000-0500-000014000000}"/>
    <hyperlink ref="Q23" r:id="rId22" display="https://www.boliga.dk/maegler/855" xr:uid="{00000000-0004-0000-0500-000015000000}"/>
    <hyperlink ref="Q24" r:id="rId23" display="https://www.boliga.dk/maegler/439" xr:uid="{00000000-0004-0000-0500-000016000000}"/>
    <hyperlink ref="Q25" r:id="rId24" display="https://www.boliga.dk/maegler/376" xr:uid="{00000000-0004-0000-0500-000017000000}"/>
    <hyperlink ref="Q26" r:id="rId25" display="https://www.boliga.dk/maegler/20712" xr:uid="{00000000-0004-0000-0500-000018000000}"/>
    <hyperlink ref="Q27" r:id="rId26" display="https://www.boliga.dk/maegler/18075" xr:uid="{00000000-0004-0000-0500-000019000000}"/>
    <hyperlink ref="Q28" r:id="rId27" display="https://www.boliga.dk/maegler/804" xr:uid="{00000000-0004-0000-0500-00001A000000}"/>
    <hyperlink ref="Q29" r:id="rId28" display="https://www.boliga.dk/maegler/25121" xr:uid="{00000000-0004-0000-0500-00001B000000}"/>
    <hyperlink ref="Q30" r:id="rId29" display="https://www.boliga.dk/maegler/374" xr:uid="{00000000-0004-0000-0500-00001C000000}"/>
    <hyperlink ref="Q31" r:id="rId30" display="https://www.boliga.dk/maegler/752" xr:uid="{00000000-0004-0000-0500-00001D000000}"/>
    <hyperlink ref="Q32" r:id="rId31" display="https://www.boliga.dk/maegler/407" xr:uid="{00000000-0004-0000-0500-00001E000000}"/>
    <hyperlink ref="Q33" r:id="rId32" display="https://www.boliga.dk/maegler/540" xr:uid="{00000000-0004-0000-0500-00001F000000}"/>
    <hyperlink ref="Q34" r:id="rId33" display="https://www.boliga.dk/maegler/673" xr:uid="{00000000-0004-0000-0500-000020000000}"/>
    <hyperlink ref="Q35" r:id="rId34" display="https://www.boliga.dk/maegler/717" xr:uid="{00000000-0004-0000-0500-000021000000}"/>
    <hyperlink ref="Q36" r:id="rId35" display="https://www.boliga.dk/maegler/25115" xr:uid="{00000000-0004-0000-0500-000022000000}"/>
    <hyperlink ref="Q37" r:id="rId36" display="https://www.boliga.dk/maegler/88" xr:uid="{00000000-0004-0000-0500-000023000000}"/>
    <hyperlink ref="Q38" r:id="rId37" display="https://www.boliga.dk/maegler/17480" xr:uid="{00000000-0004-0000-0500-000024000000}"/>
    <hyperlink ref="Q39" r:id="rId38" display="https://www.boliga.dk/maegler/17767" xr:uid="{00000000-0004-0000-0500-000025000000}"/>
    <hyperlink ref="Q40" r:id="rId39" display="https://www.boliga.dk/maegler/24227" xr:uid="{00000000-0004-0000-0500-000026000000}"/>
    <hyperlink ref="Q41" r:id="rId40" display="https://www.boliga.dk/maegler/27653" xr:uid="{00000000-0004-0000-0500-000027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G52"/>
  <sheetViews>
    <sheetView workbookViewId="0">
      <selection sqref="A1:XFD1"/>
    </sheetView>
  </sheetViews>
  <sheetFormatPr defaultColWidth="12.61328125" defaultRowHeight="15.75" customHeight="1"/>
  <cols>
    <col min="2" max="2" width="29.4609375" customWidth="1"/>
    <col min="22" max="22" width="25.15234375" customWidth="1"/>
  </cols>
  <sheetData>
    <row r="1" spans="1:33" ht="15.75" customHeight="1">
      <c r="A1" s="16" t="s">
        <v>11</v>
      </c>
      <c r="B1" s="16" t="s">
        <v>12</v>
      </c>
      <c r="C1" s="17" t="s">
        <v>13</v>
      </c>
      <c r="D1" s="17" t="s">
        <v>14</v>
      </c>
      <c r="E1" s="18" t="s">
        <v>15</v>
      </c>
      <c r="F1" s="18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21</v>
      </c>
      <c r="L1" s="16" t="s">
        <v>22</v>
      </c>
      <c r="M1" s="16" t="s">
        <v>23</v>
      </c>
      <c r="N1" s="16" t="s">
        <v>24</v>
      </c>
      <c r="O1" s="19" t="s">
        <v>25</v>
      </c>
      <c r="P1" s="16" t="s">
        <v>26</v>
      </c>
      <c r="Q1" s="16" t="s">
        <v>27</v>
      </c>
      <c r="R1" s="16" t="s">
        <v>28</v>
      </c>
      <c r="S1" s="16" t="s">
        <v>29</v>
      </c>
      <c r="T1" s="16" t="s">
        <v>30</v>
      </c>
      <c r="U1" s="16" t="s">
        <v>31</v>
      </c>
      <c r="V1" s="19" t="s">
        <v>32</v>
      </c>
      <c r="W1" s="16" t="s">
        <v>33</v>
      </c>
      <c r="X1" s="20" t="s">
        <v>34</v>
      </c>
      <c r="Y1" s="21" t="s">
        <v>35</v>
      </c>
      <c r="Z1" s="22" t="s">
        <v>36</v>
      </c>
      <c r="AA1" s="21" t="s">
        <v>37</v>
      </c>
      <c r="AB1" s="23" t="s">
        <v>38</v>
      </c>
      <c r="AC1" s="23" t="s">
        <v>39</v>
      </c>
      <c r="AD1" s="24" t="s">
        <v>40</v>
      </c>
      <c r="AE1" s="24" t="s">
        <v>36</v>
      </c>
      <c r="AF1" s="24"/>
      <c r="AG1" s="24"/>
    </row>
    <row r="2" spans="1:33" ht="15.75" customHeight="1">
      <c r="A2" s="2" t="str">
        <f ca="1">IFERROR(__xludf.DUMMYFUNCTION("FILTER('MG-mæglere-Krahn'!A2:AC95,'MG-mæglere-Krahn'!Y2:Y95=""Ja"")"),"Christian")</f>
        <v>Christian</v>
      </c>
      <c r="B2" s="2" t="str">
        <f ca="1">IFERROR(__xludf.DUMMYFUNCTION("""COMPUTED_VALUE"""),"Estate Andersen &amp; Thomsen A/S")</f>
        <v>Estate Andersen &amp; Thomsen A/S</v>
      </c>
      <c r="C2" s="2">
        <f ca="1">IFERROR(__xludf.DUMMYFUNCTION("""COMPUTED_VALUE"""),34604258)</f>
        <v>34604258</v>
      </c>
      <c r="D2" s="2" t="str">
        <f ca="1">IFERROR(__xludf.DUMMYFUNCTION("""COMPUTED_VALUE"""),"MG-JY: 2.499,-")</f>
        <v>MG-JY: 2.499,-</v>
      </c>
      <c r="E2" s="2">
        <f ca="1">IFERROR(__xludf.DUMMYFUNCTION("""COMPUTED_VALUE"""),1201)</f>
        <v>1201</v>
      </c>
      <c r="F2" s="2"/>
      <c r="G2" s="2" t="str">
        <f ca="1">IFERROR(__xludf.DUMMYFUNCTION("""COMPUTED_VALUE"""),"clh@estate.dk")</f>
        <v>clh@estate.dk</v>
      </c>
      <c r="H2" s="2"/>
      <c r="I2" s="2" t="str">
        <f ca="1">IFERROR(__xludf.DUMMYFUNCTION("""COMPUTED_VALUE"""),"Vestergade 38 D")</f>
        <v>Vestergade 38 D</v>
      </c>
      <c r="J2" s="2">
        <f ca="1">IFERROR(__xludf.DUMMYFUNCTION("""COMPUTED_VALUE"""),5700)</f>
        <v>5700</v>
      </c>
      <c r="K2" s="2" t="str">
        <f ca="1">IFERROR(__xludf.DUMMYFUNCTION("""COMPUTED_VALUE"""),"Svendborg")</f>
        <v>Svendborg</v>
      </c>
      <c r="L2" s="2" t="str">
        <f ca="1">IFERROR(__xludf.DUMMYFUNCTION("""COMPUTED_VALUE"""),"Svendborg")</f>
        <v>Svendborg</v>
      </c>
      <c r="M2" s="2" t="str">
        <f ca="1">IFERROR(__xludf.DUMMYFUNCTION("""COMPUTED_VALUE"""),"Fyn")</f>
        <v>Fyn</v>
      </c>
      <c r="N2" s="2" t="str">
        <f ca="1">IFERROR(__xludf.DUMMYFUNCTION("""COMPUTED_VALUE"""),"Syddanmark")</f>
        <v>Syddanmark</v>
      </c>
      <c r="O2" s="2">
        <f ca="1">IFERROR(__xludf.DUMMYFUNCTION("""COMPUTED_VALUE"""),62202000)</f>
        <v>62202000</v>
      </c>
      <c r="P2" s="2" t="str">
        <f ca="1">IFERROR(__xludf.DUMMYFUNCTION("""COMPUTED_VALUE"""),"post@andersenogthomsen.dk")</f>
        <v>post@andersenogthomsen.dk</v>
      </c>
      <c r="Q2" s="27" t="str">
        <f ca="1">IFERROR(__xludf.DUMMYFUNCTION("""COMPUTED_VALUE"""),"https://www.boliga.dk/maegler/440")</f>
        <v>https://www.boliga.dk/maegler/440</v>
      </c>
      <c r="R2" s="2" t="str">
        <f ca="1">IFERROR(__xludf.DUMMYFUNCTION("""COMPUTED_VALUE"""),"-")</f>
        <v>-</v>
      </c>
      <c r="S2" s="2" t="str">
        <f ca="1">IFERROR(__xludf.DUMMYFUNCTION("""COMPUTED_VALUE"""),"-")</f>
        <v>-</v>
      </c>
      <c r="T2" s="2" t="str">
        <f ca="1">IFERROR(__xludf.DUMMYFUNCTION("""COMPUTED_VALUE"""),"-")</f>
        <v>-</v>
      </c>
      <c r="U2" s="2">
        <f ca="1">IFERROR(__xludf.DUMMYFUNCTION("""COMPUTED_VALUE"""),61)</f>
        <v>61</v>
      </c>
      <c r="V2" s="2" t="str">
        <f ca="1">IFERROR(__xludf.DUMMYFUNCTION("""COMPUTED_VALUE"""),"5874, 5762, 5881, 5772, 5970, 5771, 5884, 5700, 5932, 5900, 5953, 5985, 5960")</f>
        <v>5874, 5762, 5881, 5772, 5970, 5771, 5884, 5700, 5932, 5900, 5953, 5985, 5960</v>
      </c>
      <c r="W2" s="2">
        <f ca="1">IFERROR(__xludf.DUMMYFUNCTION("""COMPUTED_VALUE"""),38)</f>
        <v>38</v>
      </c>
      <c r="X2" s="2" t="str">
        <f ca="1">IFERROR(__xludf.DUMMYFUNCTION("""COMPUTED_VALUE"""),"5874, 5762, 5881, 5953, 5970, 5883, 5700, 5892, 5960, 5985")</f>
        <v>5874, 5762, 5881, 5953, 5970, 5883, 5700, 5892, 5960, 5985</v>
      </c>
      <c r="Y2" s="2" t="str">
        <f ca="1">IFERROR(__xludf.DUMMYFUNCTION("""COMPUTED_VALUE"""),"ja")</f>
        <v>ja</v>
      </c>
      <c r="Z2" s="2" t="str">
        <f ca="1">IFERROR(__xludf.DUMMYFUNCTION("""COMPUTED_VALUE"""),"skal lige vende den med partnere")</f>
        <v>skal lige vende den med partnere</v>
      </c>
      <c r="AA2" s="25"/>
      <c r="AB2" s="2" t="str">
        <f ca="1">IFERROR(__xludf.DUMMYFUNCTION("""COMPUTED_VALUE"""),"x")</f>
        <v>x</v>
      </c>
      <c r="AC2" s="2" t="str">
        <f ca="1">IFERROR(__xludf.DUMMYFUNCTION("""COMPUTED_VALUE"""),"x")</f>
        <v>x</v>
      </c>
    </row>
    <row r="3" spans="1:33" ht="15.75" customHeight="1">
      <c r="A3" s="2" t="str">
        <f ca="1">IFERROR(__xludf.DUMMYFUNCTION("""COMPUTED_VALUE"""),"Christian")</f>
        <v>Christian</v>
      </c>
      <c r="B3" s="2" t="str">
        <f ca="1">IFERROR(__xludf.DUMMYFUNCTION("""COMPUTED_VALUE"""),"Estate Flemming Thomsen")</f>
        <v>Estate Flemming Thomsen</v>
      </c>
      <c r="C3" s="2">
        <f ca="1">IFERROR(__xludf.DUMMYFUNCTION("""COMPUTED_VALUE"""),27333478)</f>
        <v>27333478</v>
      </c>
      <c r="D3" s="2" t="str">
        <f ca="1">IFERROR(__xludf.DUMMYFUNCTION("""COMPUTED_VALUE"""),"MG-JY: 2.499,-")</f>
        <v>MG-JY: 2.499,-</v>
      </c>
      <c r="E3" s="2">
        <f ca="1">IFERROR(__xludf.DUMMYFUNCTION("""COMPUTED_VALUE"""),1201)</f>
        <v>1201</v>
      </c>
      <c r="F3" s="2" t="str">
        <f ca="1">IFERROR(__xludf.DUMMYFUNCTION("""COMPUTED_VALUE"""),"Flemming Thomsen")</f>
        <v>Flemming Thomsen</v>
      </c>
      <c r="G3" s="2" t="str">
        <f ca="1">IFERROR(__xludf.DUMMYFUNCTION("""COMPUTED_VALUE"""),"flt@estate.dk")</f>
        <v>flt@estate.dk</v>
      </c>
      <c r="H3" s="2"/>
      <c r="I3" s="2" t="str">
        <f ca="1">IFERROR(__xludf.DUMMYFUNCTION("""COMPUTED_VALUE"""),"Overvejen 69")</f>
        <v>Overvejen 69</v>
      </c>
      <c r="J3" s="2">
        <f ca="1">IFERROR(__xludf.DUMMYFUNCTION("""COMPUTED_VALUE"""),5792)</f>
        <v>5792</v>
      </c>
      <c r="K3" s="2" t="str">
        <f ca="1">IFERROR(__xludf.DUMMYFUNCTION("""COMPUTED_VALUE"""),"Årslev")</f>
        <v>Årslev</v>
      </c>
      <c r="L3" s="2" t="str">
        <f ca="1">IFERROR(__xludf.DUMMYFUNCTION("""COMPUTED_VALUE"""),"Faaborg-Midtfyn")</f>
        <v>Faaborg-Midtfyn</v>
      </c>
      <c r="M3" s="2" t="str">
        <f ca="1">IFERROR(__xludf.DUMMYFUNCTION("""COMPUTED_VALUE"""),"Fyn")</f>
        <v>Fyn</v>
      </c>
      <c r="N3" s="2" t="str">
        <f ca="1">IFERROR(__xludf.DUMMYFUNCTION("""COMPUTED_VALUE"""),"Syddanmark")</f>
        <v>Syddanmark</v>
      </c>
      <c r="O3" s="2">
        <f ca="1">IFERROR(__xludf.DUMMYFUNCTION("""COMPUTED_VALUE"""),65992111)</f>
        <v>65992111</v>
      </c>
      <c r="P3" s="2" t="str">
        <f ca="1">IFERROR(__xludf.DUMMYFUNCTION("""COMPUTED_VALUE"""),"5792@estate.dk")</f>
        <v>5792@estate.dk</v>
      </c>
      <c r="Q3" s="27" t="str">
        <f ca="1">IFERROR(__xludf.DUMMYFUNCTION("""COMPUTED_VALUE"""),"https://www.boliga.dk/maegler/25131")</f>
        <v>https://www.boliga.dk/maegler/25131</v>
      </c>
      <c r="R3" s="2" t="str">
        <f ca="1">IFERROR(__xludf.DUMMYFUNCTION("""COMPUTED_VALUE"""),"-")</f>
        <v>-</v>
      </c>
      <c r="S3" s="2" t="str">
        <f ca="1">IFERROR(__xludf.DUMMYFUNCTION("""COMPUTED_VALUE"""),"-")</f>
        <v>-</v>
      </c>
      <c r="T3" s="2" t="str">
        <f ca="1">IFERROR(__xludf.DUMMYFUNCTION("""COMPUTED_VALUE"""),"-")</f>
        <v>-</v>
      </c>
      <c r="U3" s="2">
        <f ca="1">IFERROR(__xludf.DUMMYFUNCTION("""COMPUTED_VALUE"""),19)</f>
        <v>19</v>
      </c>
      <c r="V3" s="2" t="str">
        <f ca="1">IFERROR(__xludf.DUMMYFUNCTION("""COMPUTED_VALUE"""),"5683, 5492, 5464, 5210, 5690, 5672, 5540, 5642, 5620, 5550, 5800, 5853")</f>
        <v>5683, 5492, 5464, 5210, 5690, 5672, 5540, 5642, 5620, 5550, 5800, 5853</v>
      </c>
      <c r="W3" s="2">
        <f ca="1">IFERROR(__xludf.DUMMYFUNCTION("""COMPUTED_VALUE"""),13)</f>
        <v>13</v>
      </c>
      <c r="X3" s="2" t="str">
        <f ca="1">IFERROR(__xludf.DUMMYFUNCTION("""COMPUTED_VALUE"""),"5330, 5683, 5792, 5800, 5672, 5871, 5853")</f>
        <v>5330, 5683, 5792, 5800, 5672, 5871, 5853</v>
      </c>
      <c r="Y3" s="2" t="str">
        <f ca="1">IFERROR(__xludf.DUMMYFUNCTION("""COMPUTED_VALUE"""),"ja")</f>
        <v>ja</v>
      </c>
      <c r="Z3" s="2" t="str">
        <f ca="1">IFERROR(__xludf.DUMMYFUNCTION("""COMPUTED_VALUE"""),"Flemming er tilbage uge 8")</f>
        <v>Flemming er tilbage uge 8</v>
      </c>
      <c r="AA3" s="25"/>
      <c r="AB3" s="2" t="str">
        <f ca="1">IFERROR(__xludf.DUMMYFUNCTION("""COMPUTED_VALUE"""),"x")</f>
        <v>x</v>
      </c>
      <c r="AC3" s="2" t="str">
        <f ca="1">IFERROR(__xludf.DUMMYFUNCTION("""COMPUTED_VALUE"""),"x")</f>
        <v>x</v>
      </c>
    </row>
    <row r="4" spans="1:33" ht="15.75" customHeight="1">
      <c r="A4" s="2" t="str">
        <f ca="1">IFERROR(__xludf.DUMMYFUNCTION("""COMPUTED_VALUE"""),"Christian")</f>
        <v>Christian</v>
      </c>
      <c r="B4" s="2" t="str">
        <f ca="1">IFERROR(__xludf.DUMMYFUNCTION("""COMPUTED_VALUE"""),"Estate Flemming Thomsen")</f>
        <v>Estate Flemming Thomsen</v>
      </c>
      <c r="C4" s="2">
        <f ca="1">IFERROR(__xludf.DUMMYFUNCTION("""COMPUTED_VALUE"""),27333478)</f>
        <v>27333478</v>
      </c>
      <c r="D4" s="2" t="str">
        <f ca="1">IFERROR(__xludf.DUMMYFUNCTION("""COMPUTED_VALUE"""),"MG-JY: 2.499,-")</f>
        <v>MG-JY: 2.499,-</v>
      </c>
      <c r="E4" s="2">
        <f ca="1">IFERROR(__xludf.DUMMYFUNCTION("""COMPUTED_VALUE"""),1201)</f>
        <v>1201</v>
      </c>
      <c r="F4" s="2" t="str">
        <f ca="1">IFERROR(__xludf.DUMMYFUNCTION("""COMPUTED_VALUE"""),"Flemming Thomsen")</f>
        <v>Flemming Thomsen</v>
      </c>
      <c r="G4" s="2" t="str">
        <f ca="1">IFERROR(__xludf.DUMMYFUNCTION("""COMPUTED_VALUE"""),"flt@estate.dk")</f>
        <v>flt@estate.dk</v>
      </c>
      <c r="H4" s="2"/>
      <c r="I4" s="2" t="str">
        <f ca="1">IFERROR(__xludf.DUMMYFUNCTION("""COMPUTED_VALUE"""),"Vestergade 2")</f>
        <v>Vestergade 2</v>
      </c>
      <c r="J4" s="2">
        <f ca="1">IFERROR(__xludf.DUMMYFUNCTION("""COMPUTED_VALUE"""),5800)</f>
        <v>5800</v>
      </c>
      <c r="K4" s="2" t="str">
        <f ca="1">IFERROR(__xludf.DUMMYFUNCTION("""COMPUTED_VALUE"""),"Nyborg")</f>
        <v>Nyborg</v>
      </c>
      <c r="L4" s="2" t="str">
        <f ca="1">IFERROR(__xludf.DUMMYFUNCTION("""COMPUTED_VALUE"""),"Nyborg")</f>
        <v>Nyborg</v>
      </c>
      <c r="M4" s="2" t="str">
        <f ca="1">IFERROR(__xludf.DUMMYFUNCTION("""COMPUTED_VALUE"""),"Fyn")</f>
        <v>Fyn</v>
      </c>
      <c r="N4" s="2" t="str">
        <f ca="1">IFERROR(__xludf.DUMMYFUNCTION("""COMPUTED_VALUE"""),"Syddanmark")</f>
        <v>Syddanmark</v>
      </c>
      <c r="O4" s="2">
        <f ca="1">IFERROR(__xludf.DUMMYFUNCTION("""COMPUTED_VALUE"""),65314440)</f>
        <v>65314440</v>
      </c>
      <c r="P4" s="2" t="str">
        <f ca="1">IFERROR(__xludf.DUMMYFUNCTION("""COMPUTED_VALUE"""),"5800@estate.dk")</f>
        <v>5800@estate.dk</v>
      </c>
      <c r="Q4" s="27" t="str">
        <f ca="1">IFERROR(__xludf.DUMMYFUNCTION("""COMPUTED_VALUE"""),"https://www.boliga.dk/maegler/25130")</f>
        <v>https://www.boliga.dk/maegler/25130</v>
      </c>
      <c r="R4" s="2" t="str">
        <f ca="1">IFERROR(__xludf.DUMMYFUNCTION("""COMPUTED_VALUE"""),"-")</f>
        <v>-</v>
      </c>
      <c r="S4" s="2" t="str">
        <f ca="1">IFERROR(__xludf.DUMMYFUNCTION("""COMPUTED_VALUE"""),"-")</f>
        <v>-</v>
      </c>
      <c r="T4" s="2" t="str">
        <f ca="1">IFERROR(__xludf.DUMMYFUNCTION("""COMPUTED_VALUE"""),"-")</f>
        <v>-</v>
      </c>
      <c r="U4" s="2">
        <f ca="1">IFERROR(__xludf.DUMMYFUNCTION("""COMPUTED_VALUE"""),15)</f>
        <v>15</v>
      </c>
      <c r="V4" s="2" t="str">
        <f ca="1">IFERROR(__xludf.DUMMYFUNCTION("""COMPUTED_VALUE"""),"5683, 5492, 5464, 5210, 5690, 5672, 5540, 5642, 5620, 5550, 5800, 5853")</f>
        <v>5683, 5492, 5464, 5210, 5690, 5672, 5540, 5642, 5620, 5550, 5800, 5853</v>
      </c>
      <c r="W4" s="2">
        <f ca="1">IFERROR(__xludf.DUMMYFUNCTION("""COMPUTED_VALUE"""),12)</f>
        <v>12</v>
      </c>
      <c r="X4" s="2" t="str">
        <f ca="1">IFERROR(__xludf.DUMMYFUNCTION("""COMPUTED_VALUE"""),"5330, 5683, 5792, 5800, 5672, 5871, 5853")</f>
        <v>5330, 5683, 5792, 5800, 5672, 5871, 5853</v>
      </c>
      <c r="Y4" s="2" t="str">
        <f ca="1">IFERROR(__xludf.DUMMYFUNCTION("""COMPUTED_VALUE"""),"ja")</f>
        <v>ja</v>
      </c>
      <c r="Z4" s="2"/>
      <c r="AA4" s="25"/>
      <c r="AB4" s="2" t="str">
        <f ca="1">IFERROR(__xludf.DUMMYFUNCTION("""COMPUTED_VALUE"""),"x")</f>
        <v>x</v>
      </c>
      <c r="AC4" s="2" t="str">
        <f ca="1">IFERROR(__xludf.DUMMYFUNCTION("""COMPUTED_VALUE"""),"x")</f>
        <v>x</v>
      </c>
    </row>
    <row r="5" spans="1:33" ht="15.75" customHeight="1">
      <c r="A5" s="2" t="str">
        <f ca="1">IFERROR(__xludf.DUMMYFUNCTION("""COMPUTED_VALUE"""),"Christian")</f>
        <v>Christian</v>
      </c>
      <c r="B5" s="2" t="str">
        <f ca="1">IFERROR(__xludf.DUMMYFUNCTION("""COMPUTED_VALUE"""),"ESTATE KIM TOFTDAHL Kerteminde")</f>
        <v>ESTATE KIM TOFTDAHL Kerteminde</v>
      </c>
      <c r="C5" s="2">
        <f ca="1">IFERROR(__xludf.DUMMYFUNCTION("""COMPUTED_VALUE"""),42265268)</f>
        <v>42265268</v>
      </c>
      <c r="D5" s="2" t="str">
        <f ca="1">IFERROR(__xludf.DUMMYFUNCTION("""COMPUTED_VALUE"""),"MG-JY: 2.499,-")</f>
        <v>MG-JY: 2.499,-</v>
      </c>
      <c r="E5" s="2">
        <f ca="1">IFERROR(__xludf.DUMMYFUNCTION("""COMPUTED_VALUE"""),1201)</f>
        <v>1201</v>
      </c>
      <c r="F5" s="2" t="str">
        <f ca="1">IFERROR(__xludf.DUMMYFUNCTION("""COMPUTED_VALUE"""),"Frederik Mazanti Karnvad")</f>
        <v>Frederik Mazanti Karnvad</v>
      </c>
      <c r="G5" s="2" t="str">
        <f ca="1">IFERROR(__xludf.DUMMYFUNCTION("""COMPUTED_VALUE"""),"fka@estate.dk")</f>
        <v>fka@estate.dk</v>
      </c>
      <c r="H5" s="2"/>
      <c r="I5" s="2" t="str">
        <f ca="1">IFERROR(__xludf.DUMMYFUNCTION("""COMPUTED_VALUE"""),"Langegade 1")</f>
        <v>Langegade 1</v>
      </c>
      <c r="J5" s="2">
        <f ca="1">IFERROR(__xludf.DUMMYFUNCTION("""COMPUTED_VALUE"""),5300)</f>
        <v>5300</v>
      </c>
      <c r="K5" s="2" t="str">
        <f ca="1">IFERROR(__xludf.DUMMYFUNCTION("""COMPUTED_VALUE"""),"Kerteminde")</f>
        <v>Kerteminde</v>
      </c>
      <c r="L5" s="2" t="str">
        <f ca="1">IFERROR(__xludf.DUMMYFUNCTION("""COMPUTED_VALUE"""),"Kerteminde")</f>
        <v>Kerteminde</v>
      </c>
      <c r="M5" s="2" t="str">
        <f ca="1">IFERROR(__xludf.DUMMYFUNCTION("""COMPUTED_VALUE"""),"Fyn")</f>
        <v>Fyn</v>
      </c>
      <c r="N5" s="2" t="str">
        <f ca="1">IFERROR(__xludf.DUMMYFUNCTION("""COMPUTED_VALUE"""),"Syddanmark")</f>
        <v>Syddanmark</v>
      </c>
      <c r="O5" s="2">
        <f ca="1">IFERROR(__xludf.DUMMYFUNCTION("""COMPUTED_VALUE"""),70135151)</f>
        <v>70135151</v>
      </c>
      <c r="P5" s="2" t="str">
        <f ca="1">IFERROR(__xludf.DUMMYFUNCTION("""COMPUTED_VALUE"""),"5300@estate.dk")</f>
        <v>5300@estate.dk</v>
      </c>
      <c r="Q5" s="27" t="str">
        <f ca="1">IFERROR(__xludf.DUMMYFUNCTION("""COMPUTED_VALUE"""),"https://www.boliga.dk/maegler/22905")</f>
        <v>https://www.boliga.dk/maegler/22905</v>
      </c>
      <c r="R5" s="2" t="str">
        <f ca="1">IFERROR(__xludf.DUMMYFUNCTION("""COMPUTED_VALUE"""),"-")</f>
        <v>-</v>
      </c>
      <c r="S5" s="2" t="str">
        <f ca="1">IFERROR(__xludf.DUMMYFUNCTION("""COMPUTED_VALUE"""),"-")</f>
        <v>-</v>
      </c>
      <c r="T5" s="2" t="str">
        <f ca="1">IFERROR(__xludf.DUMMYFUNCTION("""COMPUTED_VALUE"""),"-")</f>
        <v>-</v>
      </c>
      <c r="U5" s="2">
        <f ca="1">IFERROR(__xludf.DUMMYFUNCTION("""COMPUTED_VALUE"""),13)</f>
        <v>13</v>
      </c>
      <c r="V5" s="2" t="str">
        <f ca="1">IFERROR(__xludf.DUMMYFUNCTION("""COMPUTED_VALUE"""),"5330, 5350, 5300, 5390, 5800, 5540, 5370, 5550")</f>
        <v>5330, 5350, 5300, 5390, 5800, 5540, 5370, 5550</v>
      </c>
      <c r="W5" s="2">
        <f ca="1">IFERROR(__xludf.DUMMYFUNCTION("""COMPUTED_VALUE"""),6)</f>
        <v>6</v>
      </c>
      <c r="X5" s="2" t="str">
        <f ca="1">IFERROR(__xludf.DUMMYFUNCTION("""COMPUTED_VALUE"""),"5370, 5390, 5300")</f>
        <v>5370, 5390, 5300</v>
      </c>
      <c r="Y5" s="2" t="str">
        <f ca="1">IFERROR(__xludf.DUMMYFUNCTION("""COMPUTED_VALUE"""),"ja")</f>
        <v>ja</v>
      </c>
      <c r="Z5" s="2" t="str">
        <f ca="1">IFERROR(__xludf.DUMMYFUNCTION("""COMPUTED_VALUE"""),"han skal lige vende det med Kim, men han er klar - sendt opf mail 29/6")</f>
        <v>han skal lige vende det med Kim, men han er klar - sendt opf mail 29/6</v>
      </c>
      <c r="AA5" s="25"/>
      <c r="AB5" s="2" t="str">
        <f ca="1">IFERROR(__xludf.DUMMYFUNCTION("""COMPUTED_VALUE"""),"x")</f>
        <v>x</v>
      </c>
      <c r="AC5" s="2" t="str">
        <f ca="1">IFERROR(__xludf.DUMMYFUNCTION("""COMPUTED_VALUE"""),"x")</f>
        <v>x</v>
      </c>
    </row>
    <row r="6" spans="1:33" ht="15.75" customHeight="1">
      <c r="A6" s="2" t="str">
        <f ca="1">IFERROR(__xludf.DUMMYFUNCTION("""COMPUTED_VALUE"""),"Christian")</f>
        <v>Christian</v>
      </c>
      <c r="B6" s="2" t="str">
        <f ca="1">IFERROR(__xludf.DUMMYFUNCTION("""COMPUTED_VALUE"""),"ESTATE KIM TOFTDAHL Odense")</f>
        <v>ESTATE KIM TOFTDAHL Odense</v>
      </c>
      <c r="C6" s="2">
        <f ca="1">IFERROR(__xludf.DUMMYFUNCTION("""COMPUTED_VALUE"""),42265268)</f>
        <v>42265268</v>
      </c>
      <c r="D6" s="2" t="str">
        <f ca="1">IFERROR(__xludf.DUMMYFUNCTION("""COMPUTED_VALUE"""),"MG-JY: 2.499,-")</f>
        <v>MG-JY: 2.499,-</v>
      </c>
      <c r="E6" s="2">
        <f ca="1">IFERROR(__xludf.DUMMYFUNCTION("""COMPUTED_VALUE"""),1201)</f>
        <v>1201</v>
      </c>
      <c r="F6" s="2" t="str">
        <f ca="1">IFERROR(__xludf.DUMMYFUNCTION("""COMPUTED_VALUE"""),"Frederik Mazanti Karnvad")</f>
        <v>Frederik Mazanti Karnvad</v>
      </c>
      <c r="G6" s="2" t="str">
        <f ca="1">IFERROR(__xludf.DUMMYFUNCTION("""COMPUTED_VALUE"""),"fka@estate.dk")</f>
        <v>fka@estate.dk</v>
      </c>
      <c r="H6" s="2"/>
      <c r="I6" s="2" t="str">
        <f ca="1">IFERROR(__xludf.DUMMYFUNCTION("""COMPUTED_VALUE"""),"Hunderupvej 58")</f>
        <v>Hunderupvej 58</v>
      </c>
      <c r="J6" s="2">
        <f ca="1">IFERROR(__xludf.DUMMYFUNCTION("""COMPUTED_VALUE"""),5000)</f>
        <v>5000</v>
      </c>
      <c r="K6" s="2" t="str">
        <f ca="1">IFERROR(__xludf.DUMMYFUNCTION("""COMPUTED_VALUE"""),"Odense C")</f>
        <v>Odense C</v>
      </c>
      <c r="L6" s="2" t="str">
        <f ca="1">IFERROR(__xludf.DUMMYFUNCTION("""COMPUTED_VALUE"""),"Odense")</f>
        <v>Odense</v>
      </c>
      <c r="M6" s="2" t="str">
        <f ca="1">IFERROR(__xludf.DUMMYFUNCTION("""COMPUTED_VALUE"""),"Fyn")</f>
        <v>Fyn</v>
      </c>
      <c r="N6" s="2" t="str">
        <f ca="1">IFERROR(__xludf.DUMMYFUNCTION("""COMPUTED_VALUE"""),"Syddanmark")</f>
        <v>Syddanmark</v>
      </c>
      <c r="O6" s="2">
        <f ca="1">IFERROR(__xludf.DUMMYFUNCTION("""COMPUTED_VALUE"""),70135151)</f>
        <v>70135151</v>
      </c>
      <c r="P6" s="2" t="str">
        <f ca="1">IFERROR(__xludf.DUMMYFUNCTION("""COMPUTED_VALUE"""),"5000@estate.dk")</f>
        <v>5000@estate.dk</v>
      </c>
      <c r="Q6" s="27" t="str">
        <f ca="1">IFERROR(__xludf.DUMMYFUNCTION("""COMPUTED_VALUE"""),"https://www.boliga.dk/maegler/22828")</f>
        <v>https://www.boliga.dk/maegler/22828</v>
      </c>
      <c r="R6" s="2" t="str">
        <f ca="1">IFERROR(__xludf.DUMMYFUNCTION("""COMPUTED_VALUE"""),"-")</f>
        <v>-</v>
      </c>
      <c r="S6" s="2" t="str">
        <f ca="1">IFERROR(__xludf.DUMMYFUNCTION("""COMPUTED_VALUE"""),"-")</f>
        <v>-</v>
      </c>
      <c r="T6" s="2" t="str">
        <f ca="1">IFERROR(__xludf.DUMMYFUNCTION("""COMPUTED_VALUE"""),"-")</f>
        <v>-</v>
      </c>
      <c r="U6" s="2">
        <f ca="1">IFERROR(__xludf.DUMMYFUNCTION("""COMPUTED_VALUE"""),19)</f>
        <v>19</v>
      </c>
      <c r="V6" s="2" t="str">
        <f ca="1">IFERROR(__xludf.DUMMYFUNCTION("""COMPUTED_VALUE"""),"5210, 5450, 5220, 5250, 5260, 5000, 5230, 5750, 5320, 5492")</f>
        <v>5210, 5450, 5220, 5250, 5260, 5000, 5230, 5750, 5320, 5492</v>
      </c>
      <c r="W6" s="2">
        <f ca="1">IFERROR(__xludf.DUMMYFUNCTION("""COMPUTED_VALUE"""),14)</f>
        <v>14</v>
      </c>
      <c r="X6" s="2" t="str">
        <f ca="1">IFERROR(__xludf.DUMMYFUNCTION("""COMPUTED_VALUE"""),"5220, 5250, 5540, 5200, 5000, 5290, 5300")</f>
        <v>5220, 5250, 5540, 5200, 5000, 5290, 5300</v>
      </c>
      <c r="Y6" s="2" t="str">
        <f ca="1">IFERROR(__xludf.DUMMYFUNCTION("""COMPUTED_VALUE"""),"ja")</f>
        <v>ja</v>
      </c>
      <c r="Z6" s="2" t="str">
        <f ca="1">IFERROR(__xludf.DUMMYFUNCTION("""COMPUTED_VALUE"""),"se Kerteminde")</f>
        <v>se Kerteminde</v>
      </c>
      <c r="AA6" s="25"/>
      <c r="AB6" s="2" t="str">
        <f ca="1">IFERROR(__xludf.DUMMYFUNCTION("""COMPUTED_VALUE"""),"x")</f>
        <v>x</v>
      </c>
      <c r="AC6" s="2" t="str">
        <f ca="1">IFERROR(__xludf.DUMMYFUNCTION("""COMPUTED_VALUE"""),"x")</f>
        <v>x</v>
      </c>
    </row>
    <row r="7" spans="1:33" ht="15.75" customHeight="1">
      <c r="A7" s="2" t="str">
        <f ca="1">IFERROR(__xludf.DUMMYFUNCTION("""COMPUTED_VALUE"""),"Christian")</f>
        <v>Christian</v>
      </c>
      <c r="B7" s="2" t="str">
        <f ca="1">IFERROR(__xludf.DUMMYFUNCTION("""COMPUTED_VALUE"""),"Estate Odense lejligheder")</f>
        <v>Estate Odense lejligheder</v>
      </c>
      <c r="C7" s="2"/>
      <c r="D7" s="2"/>
      <c r="E7" s="2" t="str">
        <f ca="1">IFERROR(__xludf.DUMMYFUNCTION("""COMPUTED_VALUE"""),"N/A")</f>
        <v>N/A</v>
      </c>
      <c r="F7" s="2"/>
      <c r="G7" s="2"/>
      <c r="H7" s="2"/>
      <c r="I7" s="2" t="str">
        <f ca="1">IFERROR(__xludf.DUMMYFUNCTION("""COMPUTED_VALUE"""),"Vestergade 104, st.")</f>
        <v>Vestergade 104, st.</v>
      </c>
      <c r="J7" s="2">
        <f ca="1">IFERROR(__xludf.DUMMYFUNCTION("""COMPUTED_VALUE"""),5000)</f>
        <v>5000</v>
      </c>
      <c r="K7" s="2" t="str">
        <f ca="1">IFERROR(__xludf.DUMMYFUNCTION("""COMPUTED_VALUE"""),"Odense C")</f>
        <v>Odense C</v>
      </c>
      <c r="L7" s="2" t="str">
        <f ca="1">IFERROR(__xludf.DUMMYFUNCTION("""COMPUTED_VALUE"""),"Odense")</f>
        <v>Odense</v>
      </c>
      <c r="M7" s="2" t="str">
        <f ca="1">IFERROR(__xludf.DUMMYFUNCTION("""COMPUTED_VALUE"""),"Fyn")</f>
        <v>Fyn</v>
      </c>
      <c r="N7" s="2" t="str">
        <f ca="1">IFERROR(__xludf.DUMMYFUNCTION("""COMPUTED_VALUE"""),"Syddanmark")</f>
        <v>Syddanmark</v>
      </c>
      <c r="O7" s="2">
        <f ca="1">IFERROR(__xludf.DUMMYFUNCTION("""COMPUTED_VALUE"""),63110100)</f>
        <v>63110100</v>
      </c>
      <c r="P7" s="2" t="str">
        <f ca="1">IFERROR(__xludf.DUMMYFUNCTION("""COMPUTED_VALUE"""),"5100@estate.dk")</f>
        <v>5100@estate.dk</v>
      </c>
      <c r="Q7" s="27" t="str">
        <f ca="1">IFERROR(__xludf.DUMMYFUNCTION("""COMPUTED_VALUE"""),"https://www.boliga.dk/maegler/27219")</f>
        <v>https://www.boliga.dk/maegler/27219</v>
      </c>
      <c r="R7" s="2" t="str">
        <f ca="1">IFERROR(__xludf.DUMMYFUNCTION("""COMPUTED_VALUE"""),"-")</f>
        <v>-</v>
      </c>
      <c r="S7" s="2" t="str">
        <f ca="1">IFERROR(__xludf.DUMMYFUNCTION("""COMPUTED_VALUE"""),"-")</f>
        <v>-</v>
      </c>
      <c r="T7" s="2" t="str">
        <f ca="1">IFERROR(__xludf.DUMMYFUNCTION("""COMPUTED_VALUE"""),"-")</f>
        <v>-</v>
      </c>
      <c r="U7" s="2" t="str">
        <f ca="1">IFERROR(__xludf.DUMMYFUNCTION("""COMPUTED_VALUE"""),"-")</f>
        <v>-</v>
      </c>
      <c r="V7" s="2" t="str">
        <f ca="1">IFERROR(__xludf.DUMMYFUNCTION("""COMPUTED_VALUE"""),"-")</f>
        <v>-</v>
      </c>
      <c r="W7" s="2" t="str">
        <f ca="1">IFERROR(__xludf.DUMMYFUNCTION("""COMPUTED_VALUE"""),"-")</f>
        <v>-</v>
      </c>
      <c r="X7" s="2" t="str">
        <f ca="1">IFERROR(__xludf.DUMMYFUNCTION("""COMPUTED_VALUE"""),"-")</f>
        <v>-</v>
      </c>
      <c r="Y7" s="2" t="str">
        <f ca="1">IFERROR(__xludf.DUMMYFUNCTION("""COMPUTED_VALUE"""),"ja")</f>
        <v>ja</v>
      </c>
      <c r="Z7" s="2" t="str">
        <f ca="1">IFERROR(__xludf.DUMMYFUNCTION("""COMPUTED_VALUE"""),"Kristoffer syntes det lyder spændende, vil lige kigge betingelserne igennem men er klar - 24/6 haner på ferie lige nu men er stadig klar - de er ved at åbne ny fillial gensendte mail og han vender den med sin fillialchef")</f>
        <v>Kristoffer syntes det lyder spændende, vil lige kigge betingelserne igennem men er klar - 24/6 haner på ferie lige nu men er stadig klar - de er ved at åbne ny fillial gensendte mail og han vender den med sin fillialchef</v>
      </c>
      <c r="AA7" s="25"/>
      <c r="AB7" s="2" t="str">
        <f ca="1">IFERROR(__xludf.DUMMYFUNCTION("""COMPUTED_VALUE"""),"x")</f>
        <v>x</v>
      </c>
      <c r="AC7" s="2"/>
    </row>
    <row r="8" spans="1:33" ht="15.75" customHeight="1">
      <c r="A8" s="2" t="str">
        <f ca="1">IFERROR(__xludf.DUMMYFUNCTION("""COMPUTED_VALUE"""),"Christian")</f>
        <v>Christian</v>
      </c>
      <c r="B8" s="2" t="str">
        <f ca="1">IFERROR(__xludf.DUMMYFUNCTION("""COMPUTED_VALUE"""),"Estate Brønshøj")</f>
        <v>Estate Brønshøj</v>
      </c>
      <c r="C8" s="2">
        <f ca="1">IFERROR(__xludf.DUMMYFUNCTION("""COMPUTED_VALUE"""),19709485)</f>
        <v>19709485</v>
      </c>
      <c r="D8" s="2" t="str">
        <f ca="1">IFERROR(__xludf.DUMMYFUNCTION("""COMPUTED_VALUE"""),"MG-SJ: 3.499,-")</f>
        <v>MG-SJ: 3.499,-</v>
      </c>
      <c r="E8" s="2">
        <f ca="1">IFERROR(__xludf.DUMMYFUNCTION("""COMPUTED_VALUE"""),1202)</f>
        <v>1202</v>
      </c>
      <c r="F8" s="2" t="str">
        <f ca="1">IFERROR(__xludf.DUMMYFUNCTION("""COMPUTED_VALUE"""),"Peter Sepstrup")</f>
        <v>Peter Sepstrup</v>
      </c>
      <c r="G8" s="2" t="str">
        <f ca="1">IFERROR(__xludf.DUMMYFUNCTION("""COMPUTED_VALUE"""),"pse@estate.dk")</f>
        <v>pse@estate.dk</v>
      </c>
      <c r="H8" s="2"/>
      <c r="I8" s="2" t="str">
        <f ca="1">IFERROR(__xludf.DUMMYFUNCTION("""COMPUTED_VALUE"""),"Frederikssundsvej 330")</f>
        <v>Frederikssundsvej 330</v>
      </c>
      <c r="J8" s="2">
        <f ca="1">IFERROR(__xludf.DUMMYFUNCTION("""COMPUTED_VALUE"""),2700)</f>
        <v>2700</v>
      </c>
      <c r="K8" s="2" t="str">
        <f ca="1">IFERROR(__xludf.DUMMYFUNCTION("""COMPUTED_VALUE"""),"Brønshøj")</f>
        <v>Brønshøj</v>
      </c>
      <c r="L8" s="2" t="str">
        <f ca="1">IFERROR(__xludf.DUMMYFUNCTION("""COMPUTED_VALUE"""),"København")</f>
        <v>København</v>
      </c>
      <c r="M8" s="2" t="str">
        <f ca="1">IFERROR(__xludf.DUMMYFUNCTION("""COMPUTED_VALUE"""),"København By")</f>
        <v>København By</v>
      </c>
      <c r="N8" s="2" t="str">
        <f ca="1">IFERROR(__xludf.DUMMYFUNCTION("""COMPUTED_VALUE"""),"Hovedstaden")</f>
        <v>Hovedstaden</v>
      </c>
      <c r="O8" s="2">
        <f ca="1">IFERROR(__xludf.DUMMYFUNCTION("""COMPUTED_VALUE"""),38802122)</f>
        <v>38802122</v>
      </c>
      <c r="P8" s="2" t="str">
        <f ca="1">IFERROR(__xludf.DUMMYFUNCTION("""COMPUTED_VALUE"""),"2700@estate.dk")</f>
        <v>2700@estate.dk</v>
      </c>
      <c r="Q8" s="27" t="str">
        <f ca="1">IFERROR(__xludf.DUMMYFUNCTION("""COMPUTED_VALUE"""),"https://www.boliga.dk/maegler/25160")</f>
        <v>https://www.boliga.dk/maegler/25160</v>
      </c>
      <c r="R8" s="2" t="str">
        <f ca="1">IFERROR(__xludf.DUMMYFUNCTION("""COMPUTED_VALUE"""),"-")</f>
        <v>-</v>
      </c>
      <c r="S8" s="2" t="str">
        <f ca="1">IFERROR(__xludf.DUMMYFUNCTION("""COMPUTED_VALUE"""),"-")</f>
        <v>-</v>
      </c>
      <c r="T8" s="2" t="str">
        <f ca="1">IFERROR(__xludf.DUMMYFUNCTION("""COMPUTED_VALUE"""),"-")</f>
        <v>-</v>
      </c>
      <c r="U8" s="2">
        <f ca="1">IFERROR(__xludf.DUMMYFUNCTION("""COMPUTED_VALUE"""),6)</f>
        <v>6</v>
      </c>
      <c r="V8" s="2" t="str">
        <f ca="1">IFERROR(__xludf.DUMMYFUNCTION("""COMPUTED_VALUE"""),"2740, 2700, 2000")</f>
        <v>2740, 2700, 2000</v>
      </c>
      <c r="W8" s="2">
        <f ca="1">IFERROR(__xludf.DUMMYFUNCTION("""COMPUTED_VALUE"""),8)</f>
        <v>8</v>
      </c>
      <c r="X8" s="2" t="str">
        <f ca="1">IFERROR(__xludf.DUMMYFUNCTION("""COMPUTED_VALUE"""),"2730, 2000, 2860, 2700")</f>
        <v>2730, 2000, 2860, 2700</v>
      </c>
      <c r="Y8" s="2" t="str">
        <f ca="1">IFERROR(__xludf.DUMMYFUNCTION("""COMPUTED_VALUE"""),"ja")</f>
        <v>ja</v>
      </c>
      <c r="Z8" s="2" t="str">
        <f ca="1">IFERROR(__xludf.DUMMYFUNCTION("""COMPUTED_VALUE"""),"is")</f>
        <v>is</v>
      </c>
      <c r="AA8" s="25"/>
      <c r="AB8" s="2" t="str">
        <f ca="1">IFERROR(__xludf.DUMMYFUNCTION("""COMPUTED_VALUE"""),"x")</f>
        <v>x</v>
      </c>
      <c r="AC8" s="2" t="str">
        <f ca="1">IFERROR(__xludf.DUMMYFUNCTION("""COMPUTED_VALUE"""),"x")</f>
        <v>x</v>
      </c>
    </row>
    <row r="9" spans="1:33" ht="15.75" customHeight="1">
      <c r="A9" s="2" t="str">
        <f ca="1">IFERROR(__xludf.DUMMYFUNCTION("""COMPUTED_VALUE"""),"Christian")</f>
        <v>Christian</v>
      </c>
      <c r="B9" s="2" t="str">
        <f ca="1">IFERROR(__xludf.DUMMYFUNCTION("""COMPUTED_VALUE"""),"Estate City")</f>
        <v>Estate City</v>
      </c>
      <c r="C9" s="2">
        <f ca="1">IFERROR(__xludf.DUMMYFUNCTION("""COMPUTED_VALUE"""),40046380)</f>
        <v>40046380</v>
      </c>
      <c r="D9" s="2" t="str">
        <f ca="1">IFERROR(__xludf.DUMMYFUNCTION("""COMPUTED_VALUE"""),"MG-SJ: 3.499,-")</f>
        <v>MG-SJ: 3.499,-</v>
      </c>
      <c r="E9" s="2">
        <f ca="1">IFERROR(__xludf.DUMMYFUNCTION("""COMPUTED_VALUE"""),1202)</f>
        <v>1202</v>
      </c>
      <c r="F9" s="2" t="str">
        <f ca="1">IFERROR(__xludf.DUMMYFUNCTION("""COMPUTED_VALUE"""),"Mads Sjøgreen Smergel")</f>
        <v>Mads Sjøgreen Smergel</v>
      </c>
      <c r="G9" s="2" t="str">
        <f ca="1">IFERROR(__xludf.DUMMYFUNCTION("""COMPUTED_VALUE"""),"msm@estate.dk")</f>
        <v>msm@estate.dk</v>
      </c>
      <c r="H9" s="2"/>
      <c r="I9" s="2" t="str">
        <f ca="1">IFERROR(__xludf.DUMMYFUNCTION("""COMPUTED_VALUE"""),"Sølvgade 2")</f>
        <v>Sølvgade 2</v>
      </c>
      <c r="J9" s="2">
        <f ca="1">IFERROR(__xludf.DUMMYFUNCTION("""COMPUTED_VALUE"""),1307)</f>
        <v>1307</v>
      </c>
      <c r="K9" s="2" t="str">
        <f ca="1">IFERROR(__xludf.DUMMYFUNCTION("""COMPUTED_VALUE"""),"København K")</f>
        <v>København K</v>
      </c>
      <c r="L9" s="2" t="str">
        <f ca="1">IFERROR(__xludf.DUMMYFUNCTION("""COMPUTED_VALUE"""),"København")</f>
        <v>København</v>
      </c>
      <c r="M9" s="2" t="str">
        <f ca="1">IFERROR(__xludf.DUMMYFUNCTION("""COMPUTED_VALUE"""),"København By")</f>
        <v>København By</v>
      </c>
      <c r="N9" s="2" t="str">
        <f ca="1">IFERROR(__xludf.DUMMYFUNCTION("""COMPUTED_VALUE"""),"Hovedstaden")</f>
        <v>Hovedstaden</v>
      </c>
      <c r="O9" s="2">
        <f ca="1">IFERROR(__xludf.DUMMYFUNCTION("""COMPUTED_VALUE"""),32110010)</f>
        <v>32110010</v>
      </c>
      <c r="P9" s="2" t="str">
        <f ca="1">IFERROR(__xludf.DUMMYFUNCTION("""COMPUTED_VALUE"""),"1307@estate.dk")</f>
        <v>1307@estate.dk</v>
      </c>
      <c r="Q9" s="27" t="str">
        <f ca="1">IFERROR(__xludf.DUMMYFUNCTION("""COMPUTED_VALUE"""),"https://www.boliga.dk/maegler/25402")</f>
        <v>https://www.boliga.dk/maegler/25402</v>
      </c>
      <c r="R9" s="2" t="str">
        <f ca="1">IFERROR(__xludf.DUMMYFUNCTION("""COMPUTED_VALUE"""),"-")</f>
        <v>-</v>
      </c>
      <c r="S9" s="2" t="str">
        <f ca="1">IFERROR(__xludf.DUMMYFUNCTION("""COMPUTED_VALUE"""),"-")</f>
        <v>-</v>
      </c>
      <c r="T9" s="2" t="str">
        <f ca="1">IFERROR(__xludf.DUMMYFUNCTION("""COMPUTED_VALUE"""),"-")</f>
        <v>-</v>
      </c>
      <c r="U9" s="2">
        <f ca="1">IFERROR(__xludf.DUMMYFUNCTION("""COMPUTED_VALUE"""),18)</f>
        <v>18</v>
      </c>
      <c r="V9" s="2" t="str">
        <f ca="1">IFERROR(__xludf.DUMMYFUNCTION("""COMPUTED_VALUE"""),"1316, 1150, 1311, 1256, 1350, 1255, 1756, 1270, 1428, 1264, 1308, 2100, 2500, 1472")</f>
        <v>1316, 1150, 1311, 1256, 1350, 1255, 1756, 1270, 1428, 1264, 1308, 2100, 2500, 1472</v>
      </c>
      <c r="W9" s="2">
        <f ca="1">IFERROR(__xludf.DUMMYFUNCTION("""COMPUTED_VALUE"""),29)</f>
        <v>29</v>
      </c>
      <c r="X9" s="2" t="str">
        <f ca="1">IFERROR(__xludf.DUMMYFUNCTION("""COMPUTED_VALUE"""),"1302, 1161, 2000, 1357, 1308, 1051, 1205, 2100, 1453, 2300, 1317, 1472, 1601, 2200")</f>
        <v>1302, 1161, 2000, 1357, 1308, 1051, 1205, 2100, 1453, 2300, 1317, 1472, 1601, 2200</v>
      </c>
      <c r="Y9" s="2" t="str">
        <f ca="1">IFERROR(__xludf.DUMMYFUNCTION("""COMPUTED_VALUE"""),"ja")</f>
        <v>ja</v>
      </c>
      <c r="Z9" s="2" t="str">
        <f ca="1">IFERROR(__xludf.DUMMYFUNCTION("""COMPUTED_VALUE"""),"han er med")</f>
        <v>han er med</v>
      </c>
      <c r="AA9" s="25"/>
      <c r="AB9" s="2" t="str">
        <f ca="1">IFERROR(__xludf.DUMMYFUNCTION("""COMPUTED_VALUE"""),"x")</f>
        <v>x</v>
      </c>
      <c r="AC9" s="2" t="str">
        <f ca="1">IFERROR(__xludf.DUMMYFUNCTION("""COMPUTED_VALUE"""),"x")</f>
        <v>x</v>
      </c>
    </row>
    <row r="10" spans="1:33" ht="15.75" customHeight="1">
      <c r="A10" s="2" t="str">
        <f ca="1">IFERROR(__xludf.DUMMYFUNCTION("""COMPUTED_VALUE"""),"Christian")</f>
        <v>Christian</v>
      </c>
      <c r="B10" s="2" t="str">
        <f ca="1">IFERROR(__xludf.DUMMYFUNCTION("""COMPUTED_VALUE"""),"Estate Frederiksberg")</f>
        <v>Estate Frederiksberg</v>
      </c>
      <c r="C10" s="2">
        <f ca="1">IFERROR(__xludf.DUMMYFUNCTION("""COMPUTED_VALUE"""),41477946)</f>
        <v>41477946</v>
      </c>
      <c r="D10" s="2" t="str">
        <f ca="1">IFERROR(__xludf.DUMMYFUNCTION("""COMPUTED_VALUE"""),"MG-SJ: 3.499,-")</f>
        <v>MG-SJ: 3.499,-</v>
      </c>
      <c r="E10" s="2">
        <f ca="1">IFERROR(__xludf.DUMMYFUNCTION("""COMPUTED_VALUE"""),1202)</f>
        <v>1202</v>
      </c>
      <c r="F10" s="2" t="str">
        <f ca="1">IFERROR(__xludf.DUMMYFUNCTION("""COMPUTED_VALUE"""),"Danni Bredmose")</f>
        <v>Danni Bredmose</v>
      </c>
      <c r="G10" s="2" t="str">
        <f ca="1">IFERROR(__xludf.DUMMYFUNCTION("""COMPUTED_VALUE"""),"dbd@estate.dk")</f>
        <v>dbd@estate.dk</v>
      </c>
      <c r="H10" s="2"/>
      <c r="I10" s="2" t="str">
        <f ca="1">IFERROR(__xludf.DUMMYFUNCTION("""COMPUTED_VALUE"""),"Frederiksberg Allé 66")</f>
        <v>Frederiksberg Allé 66</v>
      </c>
      <c r="J10" s="2">
        <f ca="1">IFERROR(__xludf.DUMMYFUNCTION("""COMPUTED_VALUE"""),1820)</f>
        <v>1820</v>
      </c>
      <c r="K10" s="2" t="str">
        <f ca="1">IFERROR(__xludf.DUMMYFUNCTION("""COMPUTED_VALUE"""),"Frederiksberg C")</f>
        <v>Frederiksberg C</v>
      </c>
      <c r="L10" s="2" t="str">
        <f ca="1">IFERROR(__xludf.DUMMYFUNCTION("""COMPUTED_VALUE"""),"Frederiksberg")</f>
        <v>Frederiksberg</v>
      </c>
      <c r="M10" s="2" t="str">
        <f ca="1">IFERROR(__xludf.DUMMYFUNCTION("""COMPUTED_VALUE"""),"København By")</f>
        <v>København By</v>
      </c>
      <c r="N10" s="2" t="str">
        <f ca="1">IFERROR(__xludf.DUMMYFUNCTION("""COMPUTED_VALUE"""),"Hovedstaden")</f>
        <v>Hovedstaden</v>
      </c>
      <c r="O10" s="2">
        <f ca="1">IFERROR(__xludf.DUMMYFUNCTION("""COMPUTED_VALUE"""),33863535)</f>
        <v>33863535</v>
      </c>
      <c r="P10" s="2" t="str">
        <f ca="1">IFERROR(__xludf.DUMMYFUNCTION("""COMPUTED_VALUE"""),"1820@estate.dk")</f>
        <v>1820@estate.dk</v>
      </c>
      <c r="Q10" s="27" t="str">
        <f ca="1">IFERROR(__xludf.DUMMYFUNCTION("""COMPUTED_VALUE"""),"https://www.boliga.dk/maegler/25174")</f>
        <v>https://www.boliga.dk/maegler/25174</v>
      </c>
      <c r="R10" s="2" t="str">
        <f ca="1">IFERROR(__xludf.DUMMYFUNCTION("""COMPUTED_VALUE"""),"-")</f>
        <v>-</v>
      </c>
      <c r="S10" s="2" t="str">
        <f ca="1">IFERROR(__xludf.DUMMYFUNCTION("""COMPUTED_VALUE"""),"-")</f>
        <v>-</v>
      </c>
      <c r="T10" s="2" t="str">
        <f ca="1">IFERROR(__xludf.DUMMYFUNCTION("""COMPUTED_VALUE"""),"-")</f>
        <v>-</v>
      </c>
      <c r="U10" s="2">
        <f ca="1">IFERROR(__xludf.DUMMYFUNCTION("""COMPUTED_VALUE"""),3)</f>
        <v>3</v>
      </c>
      <c r="V10" s="2" t="str">
        <f ca="1">IFERROR(__xludf.DUMMYFUNCTION("""COMPUTED_VALUE"""),"1810, 1817, 2100")</f>
        <v>1810, 1817, 2100</v>
      </c>
      <c r="W10" s="2">
        <f ca="1">IFERROR(__xludf.DUMMYFUNCTION("""COMPUTED_VALUE"""),16)</f>
        <v>16</v>
      </c>
      <c r="X10" s="2" t="str">
        <f ca="1">IFERROR(__xludf.DUMMYFUNCTION("""COMPUTED_VALUE"""),"2200, 1810, 1820, 1855, 2450, 1902, 2000")</f>
        <v>2200, 1810, 1820, 1855, 2450, 1902, 2000</v>
      </c>
      <c r="Y10" s="2" t="str">
        <f ca="1">IFERROR(__xludf.DUMMYFUNCTION("""COMPUTED_VALUE"""),"ja")</f>
        <v>ja</v>
      </c>
      <c r="Z10" s="2"/>
      <c r="AA10" s="25"/>
      <c r="AB10" s="2" t="str">
        <f ca="1">IFERROR(__xludf.DUMMYFUNCTION("""COMPUTED_VALUE"""),"x")</f>
        <v>x</v>
      </c>
      <c r="AC10" s="2" t="str">
        <f ca="1">IFERROR(__xludf.DUMMYFUNCTION("""COMPUTED_VALUE"""),"x")</f>
        <v>x</v>
      </c>
    </row>
    <row r="11" spans="1:33" ht="15.75" customHeight="1">
      <c r="A11" s="2" t="str">
        <f ca="1">IFERROR(__xludf.DUMMYFUNCTION("""COMPUTED_VALUE"""),"Christian")</f>
        <v>Christian</v>
      </c>
      <c r="B11" s="2" t="str">
        <f ca="1">IFERROR(__xludf.DUMMYFUNCTION("""COMPUTED_VALUE"""),"Estate Nørrebro - Eldrup &amp; Bast")</f>
        <v>Estate Nørrebro - Eldrup &amp; Bast</v>
      </c>
      <c r="C11" s="2">
        <f ca="1">IFERROR(__xludf.DUMMYFUNCTION("""COMPUTED_VALUE"""),43096044)</f>
        <v>43096044</v>
      </c>
      <c r="D11" s="2" t="str">
        <f ca="1">IFERROR(__xludf.DUMMYFUNCTION("""COMPUTED_VALUE"""),"MG-SJ: 3.499,-")</f>
        <v>MG-SJ: 3.499,-</v>
      </c>
      <c r="E11" s="2">
        <f ca="1">IFERROR(__xludf.DUMMYFUNCTION("""COMPUTED_VALUE"""),1202)</f>
        <v>1202</v>
      </c>
      <c r="F11" s="2" t="str">
        <f ca="1">IFERROR(__xludf.DUMMYFUNCTION("""COMPUTED_VALUE"""),"Lasse Sundberg")</f>
        <v>Lasse Sundberg</v>
      </c>
      <c r="G11" s="2" t="str">
        <f ca="1">IFERROR(__xludf.DUMMYFUNCTION("""COMPUTED_VALUE"""),"su1@estate.dk")</f>
        <v>su1@estate.dk</v>
      </c>
      <c r="H11" s="2"/>
      <c r="I11" s="2" t="str">
        <f ca="1">IFERROR(__xludf.DUMMYFUNCTION("""COMPUTED_VALUE"""),"Jagtvej 121")</f>
        <v>Jagtvej 121</v>
      </c>
      <c r="J11" s="2">
        <f ca="1">IFERROR(__xludf.DUMMYFUNCTION("""COMPUTED_VALUE"""),2200)</f>
        <v>2200</v>
      </c>
      <c r="K11" s="2" t="str">
        <f ca="1">IFERROR(__xludf.DUMMYFUNCTION("""COMPUTED_VALUE"""),"København N")</f>
        <v>København N</v>
      </c>
      <c r="L11" s="2" t="str">
        <f ca="1">IFERROR(__xludf.DUMMYFUNCTION("""COMPUTED_VALUE"""),"København")</f>
        <v>København</v>
      </c>
      <c r="M11" s="2" t="str">
        <f ca="1">IFERROR(__xludf.DUMMYFUNCTION("""COMPUTED_VALUE"""),"København By")</f>
        <v>København By</v>
      </c>
      <c r="N11" s="2" t="str">
        <f ca="1">IFERROR(__xludf.DUMMYFUNCTION("""COMPUTED_VALUE"""),"Hovedstaden")</f>
        <v>Hovedstaden</v>
      </c>
      <c r="O11" s="2">
        <f ca="1">IFERROR(__xludf.DUMMYFUNCTION("""COMPUTED_VALUE"""),33210004)</f>
        <v>33210004</v>
      </c>
      <c r="P11" s="2" t="str">
        <f ca="1">IFERROR(__xludf.DUMMYFUNCTION("""COMPUTED_VALUE"""),"2200@estate.dk")</f>
        <v>2200@estate.dk</v>
      </c>
      <c r="Q11" s="27" t="str">
        <f ca="1">IFERROR(__xludf.DUMMYFUNCTION("""COMPUTED_VALUE"""),"https://www.boliga.dk/maegler/25171")</f>
        <v>https://www.boliga.dk/maegler/25171</v>
      </c>
      <c r="R11" s="2" t="str">
        <f ca="1">IFERROR(__xludf.DUMMYFUNCTION("""COMPUTED_VALUE"""),"-")</f>
        <v>-</v>
      </c>
      <c r="S11" s="2" t="str">
        <f ca="1">IFERROR(__xludf.DUMMYFUNCTION("""COMPUTED_VALUE"""),"-")</f>
        <v>-</v>
      </c>
      <c r="T11" s="2" t="str">
        <f ca="1">IFERROR(__xludf.DUMMYFUNCTION("""COMPUTED_VALUE"""),"-")</f>
        <v>-</v>
      </c>
      <c r="U11" s="2">
        <f ca="1">IFERROR(__xludf.DUMMYFUNCTION("""COMPUTED_VALUE"""),9)</f>
        <v>9</v>
      </c>
      <c r="V11" s="2" t="str">
        <f ca="1">IFERROR(__xludf.DUMMYFUNCTION("""COMPUTED_VALUE"""),"2200, 2605, 2400")</f>
        <v>2200, 2605, 2400</v>
      </c>
      <c r="W11" s="2">
        <f ca="1">IFERROR(__xludf.DUMMYFUNCTION("""COMPUTED_VALUE"""),6)</f>
        <v>6</v>
      </c>
      <c r="X11" s="2" t="str">
        <f ca="1">IFERROR(__xludf.DUMMYFUNCTION("""COMPUTED_VALUE"""),"2400, 2720, 2730, 2200")</f>
        <v>2400, 2720, 2730, 2200</v>
      </c>
      <c r="Y11" s="2" t="str">
        <f ca="1">IFERROR(__xludf.DUMMYFUNCTION("""COMPUTED_VALUE"""),"ja")</f>
        <v>ja</v>
      </c>
      <c r="Z11" s="2" t="str">
        <f ca="1">IFERROR(__xludf.DUMMYFUNCTION("""COMPUTED_VALUE"""),"De har solgt butikken pr 1/4 ved ikke hvem der overtager kører gennem nykredit mægler - Talte med den nye ejer Lasse som er int i samarbejde,skal lige vende den med partner")</f>
        <v>De har solgt butikken pr 1/4 ved ikke hvem der overtager kører gennem nykredit mægler - Talte med den nye ejer Lasse som er int i samarbejde,skal lige vende den med partner</v>
      </c>
      <c r="AA11" s="25"/>
      <c r="AB11" s="2" t="str">
        <f ca="1">IFERROR(__xludf.DUMMYFUNCTION("""COMPUTED_VALUE"""),"x")</f>
        <v>x</v>
      </c>
      <c r="AC11" s="2" t="str">
        <f ca="1">IFERROR(__xludf.DUMMYFUNCTION("""COMPUTED_VALUE"""),"x")</f>
        <v>x</v>
      </c>
    </row>
    <row r="12" spans="1:33" ht="15.75" customHeight="1">
      <c r="A12" s="2" t="str">
        <f ca="1">IFERROR(__xludf.DUMMYFUNCTION("""COMPUTED_VALUE"""),"Christian")</f>
        <v>Christian</v>
      </c>
      <c r="B12" s="2" t="str">
        <f ca="1">IFERROR(__xludf.DUMMYFUNCTION("""COMPUTED_VALUE"""),"Estate Ballerup-Smørum - Holck &amp; Lykke")</f>
        <v>Estate Ballerup-Smørum - Holck &amp; Lykke</v>
      </c>
      <c r="C12" s="2">
        <f ca="1">IFERROR(__xludf.DUMMYFUNCTION("""COMPUTED_VALUE"""),39593521)</f>
        <v>39593521</v>
      </c>
      <c r="D12" s="2" t="str">
        <f ca="1">IFERROR(__xludf.DUMMYFUNCTION("""COMPUTED_VALUE"""),"MG-SJ: 3.499,-")</f>
        <v>MG-SJ: 3.499,-</v>
      </c>
      <c r="E12" s="2">
        <f ca="1">IFERROR(__xludf.DUMMYFUNCTION("""COMPUTED_VALUE"""),1202)</f>
        <v>1202</v>
      </c>
      <c r="F12" s="2" t="str">
        <f ca="1">IFERROR(__xludf.DUMMYFUNCTION("""COMPUTED_VALUE"""),"Victor Lykke Methmann")</f>
        <v>Victor Lykke Methmann</v>
      </c>
      <c r="G12" s="2" t="str">
        <f ca="1">IFERROR(__xludf.DUMMYFUNCTION("""COMPUTED_VALUE"""),"vlm@estate.dk")</f>
        <v>vlm@estate.dk</v>
      </c>
      <c r="H12" s="2"/>
      <c r="I12" s="2" t="str">
        <f ca="1">IFERROR(__xludf.DUMMYFUNCTION("""COMPUTED_VALUE"""),"Centrumgaden 17")</f>
        <v>Centrumgaden 17</v>
      </c>
      <c r="J12" s="2">
        <f ca="1">IFERROR(__xludf.DUMMYFUNCTION("""COMPUTED_VALUE"""),2750)</f>
        <v>2750</v>
      </c>
      <c r="K12" s="2" t="str">
        <f ca="1">IFERROR(__xludf.DUMMYFUNCTION("""COMPUTED_VALUE"""),"Ballerup")</f>
        <v>Ballerup</v>
      </c>
      <c r="L12" s="2" t="str">
        <f ca="1">IFERROR(__xludf.DUMMYFUNCTION("""COMPUTED_VALUE"""),"Ballerup")</f>
        <v>Ballerup</v>
      </c>
      <c r="M12" s="2" t="str">
        <f ca="1">IFERROR(__xludf.DUMMYFUNCTION("""COMPUTED_VALUE"""),"Københavns omegn")</f>
        <v>Københavns omegn</v>
      </c>
      <c r="N12" s="2" t="str">
        <f ca="1">IFERROR(__xludf.DUMMYFUNCTION("""COMPUTED_VALUE"""),"Hovedstaden")</f>
        <v>Hovedstaden</v>
      </c>
      <c r="O12" s="2">
        <f ca="1">IFERROR(__xludf.DUMMYFUNCTION("""COMPUTED_VALUE"""),44250555)</f>
        <v>44250555</v>
      </c>
      <c r="P12" s="2" t="str">
        <f ca="1">IFERROR(__xludf.DUMMYFUNCTION("""COMPUTED_VALUE"""),"2750@estate.dk")</f>
        <v>2750@estate.dk</v>
      </c>
      <c r="Q12" s="27" t="str">
        <f ca="1">IFERROR(__xludf.DUMMYFUNCTION("""COMPUTED_VALUE"""),"https://www.boliga.dk/maegler/25158")</f>
        <v>https://www.boliga.dk/maegler/25158</v>
      </c>
      <c r="R12" s="2" t="str">
        <f ca="1">IFERROR(__xludf.DUMMYFUNCTION("""COMPUTED_VALUE"""),"-")</f>
        <v>-</v>
      </c>
      <c r="S12" s="2" t="str">
        <f ca="1">IFERROR(__xludf.DUMMYFUNCTION("""COMPUTED_VALUE"""),"-")</f>
        <v>-</v>
      </c>
      <c r="T12" s="2" t="str">
        <f ca="1">IFERROR(__xludf.DUMMYFUNCTION("""COMPUTED_VALUE"""),"-")</f>
        <v>-</v>
      </c>
      <c r="U12" s="2">
        <f ca="1">IFERROR(__xludf.DUMMYFUNCTION("""COMPUTED_VALUE"""),10)</f>
        <v>10</v>
      </c>
      <c r="V12" s="2" t="str">
        <f ca="1">IFERROR(__xludf.DUMMYFUNCTION("""COMPUTED_VALUE"""),"2765, 2750, 2740, 2760")</f>
        <v>2765, 2750, 2740, 2760</v>
      </c>
      <c r="W12" s="2">
        <f ca="1">IFERROR(__xludf.DUMMYFUNCTION("""COMPUTED_VALUE"""),14)</f>
        <v>14</v>
      </c>
      <c r="X12" s="2" t="str">
        <f ca="1">IFERROR(__xludf.DUMMYFUNCTION("""COMPUTED_VALUE"""),"2750, 2765, 2740")</f>
        <v>2750, 2765, 2740</v>
      </c>
      <c r="Y12" s="2" t="str">
        <f ca="1">IFERROR(__xludf.DUMMYFUNCTION("""COMPUTED_VALUE"""),"ja")</f>
        <v>ja</v>
      </c>
      <c r="Z12" s="2" t="str">
        <f ca="1">IFERROR(__xludf.DUMMYFUNCTION("""COMPUTED_VALUE"""),"is")</f>
        <v>is</v>
      </c>
      <c r="AA12" s="25"/>
      <c r="AB12" s="2" t="str">
        <f ca="1">IFERROR(__xludf.DUMMYFUNCTION("""COMPUTED_VALUE"""),"x")</f>
        <v>x</v>
      </c>
      <c r="AC12" s="2" t="str">
        <f ca="1">IFERROR(__xludf.DUMMYFUNCTION("""COMPUTED_VALUE"""),"x")</f>
        <v>x</v>
      </c>
    </row>
    <row r="13" spans="1:33" ht="15.75" customHeight="1">
      <c r="A13" s="2" t="str">
        <f ca="1">IFERROR(__xludf.DUMMYFUNCTION("""COMPUTED_VALUE"""),"Christian")</f>
        <v>Christian</v>
      </c>
      <c r="B13" s="2" t="str">
        <f ca="1">IFERROR(__xludf.DUMMYFUNCTION("""COMPUTED_VALUE"""),"Estate Glostrup A/S")</f>
        <v>Estate Glostrup A/S</v>
      </c>
      <c r="C13" s="2">
        <f ca="1">IFERROR(__xludf.DUMMYFUNCTION("""COMPUTED_VALUE"""),35657304)</f>
        <v>35657304</v>
      </c>
      <c r="D13" s="2" t="str">
        <f ca="1">IFERROR(__xludf.DUMMYFUNCTION("""COMPUTED_VALUE"""),"MG-SJ: 3.499,-")</f>
        <v>MG-SJ: 3.499,-</v>
      </c>
      <c r="E13" s="2">
        <f ca="1">IFERROR(__xludf.DUMMYFUNCTION("""COMPUTED_VALUE"""),1202)</f>
        <v>1202</v>
      </c>
      <c r="F13" s="2" t="str">
        <f ca="1">IFERROR(__xludf.DUMMYFUNCTION("""COMPUTED_VALUE"""),"Serdar Demir")</f>
        <v>Serdar Demir</v>
      </c>
      <c r="G13" s="2" t="str">
        <f ca="1">IFERROR(__xludf.DUMMYFUNCTION("""COMPUTED_VALUE"""),"sed@estate.dk")</f>
        <v>sed@estate.dk</v>
      </c>
      <c r="H13" s="2"/>
      <c r="I13" s="2" t="str">
        <f ca="1">IFERROR(__xludf.DUMMYFUNCTION("""COMPUTED_VALUE"""),"Kærmindevej 11")</f>
        <v>Kærmindevej 11</v>
      </c>
      <c r="J13" s="2">
        <f ca="1">IFERROR(__xludf.DUMMYFUNCTION("""COMPUTED_VALUE"""),2600)</f>
        <v>2600</v>
      </c>
      <c r="K13" s="2" t="str">
        <f ca="1">IFERROR(__xludf.DUMMYFUNCTION("""COMPUTED_VALUE"""),"Glostrup")</f>
        <v>Glostrup</v>
      </c>
      <c r="L13" s="2" t="str">
        <f ca="1">IFERROR(__xludf.DUMMYFUNCTION("""COMPUTED_VALUE"""),"Glostrup")</f>
        <v>Glostrup</v>
      </c>
      <c r="M13" s="2" t="str">
        <f ca="1">IFERROR(__xludf.DUMMYFUNCTION("""COMPUTED_VALUE"""),"Københavns omegn")</f>
        <v>Københavns omegn</v>
      </c>
      <c r="N13" s="2" t="str">
        <f ca="1">IFERROR(__xludf.DUMMYFUNCTION("""COMPUTED_VALUE"""),"Hovedstaden")</f>
        <v>Hovedstaden</v>
      </c>
      <c r="O13" s="2">
        <f ca="1">IFERROR(__xludf.DUMMYFUNCTION("""COMPUTED_VALUE"""),36702600)</f>
        <v>36702600</v>
      </c>
      <c r="P13" s="2" t="str">
        <f ca="1">IFERROR(__xludf.DUMMYFUNCTION("""COMPUTED_VALUE"""),"2600@estate.dk")</f>
        <v>2600@estate.dk</v>
      </c>
      <c r="Q13" s="27" t="str">
        <f ca="1">IFERROR(__xludf.DUMMYFUNCTION("""COMPUTED_VALUE"""),"https://www.boliga.dk/maegler/25165")</f>
        <v>https://www.boliga.dk/maegler/25165</v>
      </c>
      <c r="R13" s="2" t="str">
        <f ca="1">IFERROR(__xludf.DUMMYFUNCTION("""COMPUTED_VALUE"""),"-")</f>
        <v>-</v>
      </c>
      <c r="S13" s="2" t="str">
        <f ca="1">IFERROR(__xludf.DUMMYFUNCTION("""COMPUTED_VALUE"""),"-")</f>
        <v>-</v>
      </c>
      <c r="T13" s="2" t="str">
        <f ca="1">IFERROR(__xludf.DUMMYFUNCTION("""COMPUTED_VALUE"""),"-")</f>
        <v>-</v>
      </c>
      <c r="U13" s="2">
        <f ca="1">IFERROR(__xludf.DUMMYFUNCTION("""COMPUTED_VALUE"""),9)</f>
        <v>9</v>
      </c>
      <c r="V13" s="2" t="str">
        <f ca="1">IFERROR(__xludf.DUMMYFUNCTION("""COMPUTED_VALUE"""),"2625, 2605, 2600")</f>
        <v>2625, 2605, 2600</v>
      </c>
      <c r="W13" s="2">
        <f ca="1">IFERROR(__xludf.DUMMYFUNCTION("""COMPUTED_VALUE"""),16)</f>
        <v>16</v>
      </c>
      <c r="X13" s="2" t="str">
        <f ca="1">IFERROR(__xludf.DUMMYFUNCTION("""COMPUTED_VALUE"""),"2625, 2605, 2600, 2620, 2665")</f>
        <v>2625, 2605, 2600, 2620, 2665</v>
      </c>
      <c r="Y13" s="2" t="str">
        <f ca="1">IFERROR(__xludf.DUMMYFUNCTION("""COMPUTED_VALUE"""),"ja")</f>
        <v>ja</v>
      </c>
      <c r="Z13" s="2" t="str">
        <f ca="1">IFERROR(__xludf.DUMMYFUNCTION("""COMPUTED_VALUE"""),"har også taastrup - han er klart int. skal tales ved torsdag i næste uge")</f>
        <v>har også taastrup - han er klart int. skal tales ved torsdag i næste uge</v>
      </c>
      <c r="AA13" s="25"/>
      <c r="AB13" s="2" t="str">
        <f ca="1">IFERROR(__xludf.DUMMYFUNCTION("""COMPUTED_VALUE"""),"x")</f>
        <v>x</v>
      </c>
      <c r="AC13" s="2" t="str">
        <f ca="1">IFERROR(__xludf.DUMMYFUNCTION("""COMPUTED_VALUE"""),"x")</f>
        <v>x</v>
      </c>
    </row>
    <row r="14" spans="1:33" ht="15.75" customHeight="1">
      <c r="A14" s="2" t="str">
        <f ca="1">IFERROR(__xludf.DUMMYFUNCTION("""COMPUTED_VALUE"""),"Christian")</f>
        <v>Christian</v>
      </c>
      <c r="B14" s="2" t="str">
        <f ca="1">IFERROR(__xludf.DUMMYFUNCTION("""COMPUTED_VALUE"""),"Estate Hellerup")</f>
        <v>Estate Hellerup</v>
      </c>
      <c r="C14" s="2">
        <f ca="1">IFERROR(__xludf.DUMMYFUNCTION("""COMPUTED_VALUE"""),40495231)</f>
        <v>40495231</v>
      </c>
      <c r="D14" s="2" t="str">
        <f ca="1">IFERROR(__xludf.DUMMYFUNCTION("""COMPUTED_VALUE"""),"MG-SJ: 3.499,-")</f>
        <v>MG-SJ: 3.499,-</v>
      </c>
      <c r="E14" s="2">
        <f ca="1">IFERROR(__xludf.DUMMYFUNCTION("""COMPUTED_VALUE"""),1202)</f>
        <v>1202</v>
      </c>
      <c r="F14" s="2" t="str">
        <f ca="1">IFERROR(__xludf.DUMMYFUNCTION("""COMPUTED_VALUE"""),"Peter Holm")</f>
        <v>Peter Holm</v>
      </c>
      <c r="G14" s="2" t="str">
        <f ca="1">IFERROR(__xludf.DUMMYFUNCTION("""COMPUTED_VALUE"""),"phm@estate.dk")</f>
        <v>phm@estate.dk</v>
      </c>
      <c r="H14" s="2"/>
      <c r="I14" s="2" t="str">
        <f ca="1">IFERROR(__xludf.DUMMYFUNCTION("""COMPUTED_VALUE"""),"Strandvejen 142")</f>
        <v>Strandvejen 142</v>
      </c>
      <c r="J14" s="2">
        <f ca="1">IFERROR(__xludf.DUMMYFUNCTION("""COMPUTED_VALUE"""),2900)</f>
        <v>2900</v>
      </c>
      <c r="K14" s="2" t="str">
        <f ca="1">IFERROR(__xludf.DUMMYFUNCTION("""COMPUTED_VALUE"""),"Hellerup")</f>
        <v>Hellerup</v>
      </c>
      <c r="L14" s="2" t="str">
        <f ca="1">IFERROR(__xludf.DUMMYFUNCTION("""COMPUTED_VALUE"""),"Gentofte")</f>
        <v>Gentofte</v>
      </c>
      <c r="M14" s="2" t="str">
        <f ca="1">IFERROR(__xludf.DUMMYFUNCTION("""COMPUTED_VALUE"""),"Københavns omegn")</f>
        <v>Københavns omegn</v>
      </c>
      <c r="N14" s="2" t="str">
        <f ca="1">IFERROR(__xludf.DUMMYFUNCTION("""COMPUTED_VALUE"""),"Hovedstaden")</f>
        <v>Hovedstaden</v>
      </c>
      <c r="O14" s="2">
        <f ca="1">IFERROR(__xludf.DUMMYFUNCTION("""COMPUTED_VALUE"""),39402122)</f>
        <v>39402122</v>
      </c>
      <c r="P14" s="2" t="str">
        <f ca="1">IFERROR(__xludf.DUMMYFUNCTION("""COMPUTED_VALUE"""),"2900@estate.dk")</f>
        <v>2900@estate.dk</v>
      </c>
      <c r="Q14" s="27" t="str">
        <f ca="1">IFERROR(__xludf.DUMMYFUNCTION("""COMPUTED_VALUE"""),"https://www.boliga.dk/maegler/25153")</f>
        <v>https://www.boliga.dk/maegler/25153</v>
      </c>
      <c r="R14" s="2" t="str">
        <f ca="1">IFERROR(__xludf.DUMMYFUNCTION("""COMPUTED_VALUE"""),"-")</f>
        <v>-</v>
      </c>
      <c r="S14" s="2" t="str">
        <f ca="1">IFERROR(__xludf.DUMMYFUNCTION("""COMPUTED_VALUE"""),"-")</f>
        <v>-</v>
      </c>
      <c r="T14" s="2" t="str">
        <f ca="1">IFERROR(__xludf.DUMMYFUNCTION("""COMPUTED_VALUE"""),"-")</f>
        <v>-</v>
      </c>
      <c r="U14" s="2">
        <f ca="1">IFERROR(__xludf.DUMMYFUNCTION("""COMPUTED_VALUE"""),9)</f>
        <v>9</v>
      </c>
      <c r="V14" s="2" t="str">
        <f ca="1">IFERROR(__xludf.DUMMYFUNCTION("""COMPUTED_VALUE"""),"2820, 2930, 2900, 2920")</f>
        <v>2820, 2930, 2900, 2920</v>
      </c>
      <c r="W14" s="2">
        <f ca="1">IFERROR(__xludf.DUMMYFUNCTION("""COMPUTED_VALUE"""),12)</f>
        <v>12</v>
      </c>
      <c r="X14" s="2" t="str">
        <f ca="1">IFERROR(__xludf.DUMMYFUNCTION("""COMPUTED_VALUE"""),"1310, 2920, 2900, 1655, 2000")</f>
        <v>1310, 2920, 2900, 1655, 2000</v>
      </c>
      <c r="Y14" s="2" t="str">
        <f ca="1">IFERROR(__xludf.DUMMYFUNCTION("""COMPUTED_VALUE"""),"ja")</f>
        <v>ja</v>
      </c>
      <c r="Z14" s="2" t="str">
        <f ca="1">IFERROR(__xludf.DUMMYFUNCTION("""COMPUTED_VALUE"""),"peter er lettere skeptisk, mener at vi forfordeler PM og at det er lukket land for ham, men han er med")</f>
        <v>peter er lettere skeptisk, mener at vi forfordeler PM og at det er lukket land for ham, men han er med</v>
      </c>
      <c r="AA14" s="25"/>
      <c r="AB14" s="2" t="str">
        <f ca="1">IFERROR(__xludf.DUMMYFUNCTION("""COMPUTED_VALUE"""),"x")</f>
        <v>x</v>
      </c>
      <c r="AC14" s="2" t="str">
        <f ca="1">IFERROR(__xludf.DUMMYFUNCTION("""COMPUTED_VALUE"""),"x")</f>
        <v>x</v>
      </c>
    </row>
    <row r="15" spans="1:33" ht="15.75" customHeight="1">
      <c r="A15" s="2" t="str">
        <f ca="1">IFERROR(__xludf.DUMMYFUNCTION("""COMPUTED_VALUE"""),"Christian")</f>
        <v>Christian</v>
      </c>
      <c r="B15" s="2" t="str">
        <f ca="1">IFERROR(__xludf.DUMMYFUNCTION("""COMPUTED_VALUE"""),"Estate Hvidovre")</f>
        <v>Estate Hvidovre</v>
      </c>
      <c r="C15" s="2">
        <f ca="1">IFERROR(__xludf.DUMMYFUNCTION("""COMPUTED_VALUE"""),34239150)</f>
        <v>34239150</v>
      </c>
      <c r="D15" s="2" t="str">
        <f ca="1">IFERROR(__xludf.DUMMYFUNCTION("""COMPUTED_VALUE"""),"MG-SJ: 3.499,-")</f>
        <v>MG-SJ: 3.499,-</v>
      </c>
      <c r="E15" s="2">
        <f ca="1">IFERROR(__xludf.DUMMYFUNCTION("""COMPUTED_VALUE"""),1202)</f>
        <v>1202</v>
      </c>
      <c r="F15" s="2" t="str">
        <f ca="1">IFERROR(__xludf.DUMMYFUNCTION("""COMPUTED_VALUE"""),"Jesper Glerup")</f>
        <v>Jesper Glerup</v>
      </c>
      <c r="G15" s="2" t="str">
        <f ca="1">IFERROR(__xludf.DUMMYFUNCTION("""COMPUTED_VALUE"""),"jgu@estate.dk")</f>
        <v>jgu@estate.dk</v>
      </c>
      <c r="H15" s="2"/>
      <c r="I15" s="2" t="str">
        <f ca="1">IFERROR(__xludf.DUMMYFUNCTION("""COMPUTED_VALUE"""),"Hvidovrevej 160")</f>
        <v>Hvidovrevej 160</v>
      </c>
      <c r="J15" s="2">
        <f ca="1">IFERROR(__xludf.DUMMYFUNCTION("""COMPUTED_VALUE"""),2650)</f>
        <v>2650</v>
      </c>
      <c r="K15" s="2" t="str">
        <f ca="1">IFERROR(__xludf.DUMMYFUNCTION("""COMPUTED_VALUE"""),"Hvidovre")</f>
        <v>Hvidovre</v>
      </c>
      <c r="L15" s="2" t="str">
        <f ca="1">IFERROR(__xludf.DUMMYFUNCTION("""COMPUTED_VALUE"""),"Hvidovre")</f>
        <v>Hvidovre</v>
      </c>
      <c r="M15" s="2" t="str">
        <f ca="1">IFERROR(__xludf.DUMMYFUNCTION("""COMPUTED_VALUE"""),"Københavns omegn")</f>
        <v>Københavns omegn</v>
      </c>
      <c r="N15" s="2" t="str">
        <f ca="1">IFERROR(__xludf.DUMMYFUNCTION("""COMPUTED_VALUE"""),"Hovedstaden")</f>
        <v>Hovedstaden</v>
      </c>
      <c r="O15" s="2">
        <f ca="1">IFERROR(__xludf.DUMMYFUNCTION("""COMPUTED_VALUE"""),36474811)</f>
        <v>36474811</v>
      </c>
      <c r="P15" s="2" t="str">
        <f ca="1">IFERROR(__xludf.DUMMYFUNCTION("""COMPUTED_VALUE"""),"2650@estate.dk")</f>
        <v>2650@estate.dk</v>
      </c>
      <c r="Q15" s="27" t="str">
        <f ca="1">IFERROR(__xludf.DUMMYFUNCTION("""COMPUTED_VALUE"""),"https://www.boliga.dk/maegler/25163")</f>
        <v>https://www.boliga.dk/maegler/25163</v>
      </c>
      <c r="R15" s="2" t="str">
        <f ca="1">IFERROR(__xludf.DUMMYFUNCTION("""COMPUTED_VALUE"""),"-")</f>
        <v>-</v>
      </c>
      <c r="S15" s="2" t="str">
        <f ca="1">IFERROR(__xludf.DUMMYFUNCTION("""COMPUTED_VALUE"""),"-")</f>
        <v>-</v>
      </c>
      <c r="T15" s="2" t="str">
        <f ca="1">IFERROR(__xludf.DUMMYFUNCTION("""COMPUTED_VALUE"""),"-")</f>
        <v>-</v>
      </c>
      <c r="U15" s="2">
        <f ca="1">IFERROR(__xludf.DUMMYFUNCTION("""COMPUTED_VALUE"""),4)</f>
        <v>4</v>
      </c>
      <c r="V15" s="2">
        <f ca="1">IFERROR(__xludf.DUMMYFUNCTION("""COMPUTED_VALUE"""),2650)</f>
        <v>2650</v>
      </c>
      <c r="W15" s="2">
        <f ca="1">IFERROR(__xludf.DUMMYFUNCTION("""COMPUTED_VALUE"""),10)</f>
        <v>10</v>
      </c>
      <c r="X15" s="2" t="str">
        <f ca="1">IFERROR(__xludf.DUMMYFUNCTION("""COMPUTED_VALUE"""),"2650, 2610")</f>
        <v>2650, 2610</v>
      </c>
      <c r="Y15" s="2" t="str">
        <f ca="1">IFERROR(__xludf.DUMMYFUNCTION("""COMPUTED_VALUE"""),"ja")</f>
        <v>ja</v>
      </c>
      <c r="Z15" s="2" t="str">
        <f ca="1">IFERROR(__xludf.DUMMYFUNCTION("""COMPUTED_VALUE"""),"jesper er klar")</f>
        <v>jesper er klar</v>
      </c>
      <c r="AA15" s="25"/>
      <c r="AB15" s="2" t="str">
        <f ca="1">IFERROR(__xludf.DUMMYFUNCTION("""COMPUTED_VALUE"""),"x")</f>
        <v>x</v>
      </c>
      <c r="AC15" s="2" t="str">
        <f ca="1">IFERROR(__xludf.DUMMYFUNCTION("""COMPUTED_VALUE"""),"x")</f>
        <v>x</v>
      </c>
    </row>
    <row r="16" spans="1:33" ht="15.75" customHeight="1">
      <c r="A16" s="2" t="str">
        <f ca="1">IFERROR(__xludf.DUMMYFUNCTION("""COMPUTED_VALUE"""),"Christian")</f>
        <v>Christian</v>
      </c>
      <c r="B16" s="2" t="str">
        <f ca="1">IFERROR(__xludf.DUMMYFUNCTION("""COMPUTED_VALUE"""),"Estate Ishøj Aps")</f>
        <v>Estate Ishøj Aps</v>
      </c>
      <c r="C16" s="2"/>
      <c r="D16" s="2"/>
      <c r="E16" s="2" t="str">
        <f ca="1">IFERROR(__xludf.DUMMYFUNCTION("""COMPUTED_VALUE"""),"N/A")</f>
        <v>N/A</v>
      </c>
      <c r="F16" s="2"/>
      <c r="G16" s="2"/>
      <c r="H16" s="2"/>
      <c r="I16" s="2" t="str">
        <f ca="1">IFERROR(__xludf.DUMMYFUNCTION("""COMPUTED_VALUE"""),"Vejlebrovej 68, st.")</f>
        <v>Vejlebrovej 68, st.</v>
      </c>
      <c r="J16" s="2">
        <f ca="1">IFERROR(__xludf.DUMMYFUNCTION("""COMPUTED_VALUE"""),2635)</f>
        <v>2635</v>
      </c>
      <c r="K16" s="2" t="str">
        <f ca="1">IFERROR(__xludf.DUMMYFUNCTION("""COMPUTED_VALUE"""),"Ishøj")</f>
        <v>Ishøj</v>
      </c>
      <c r="L16" s="2" t="str">
        <f ca="1">IFERROR(__xludf.DUMMYFUNCTION("""COMPUTED_VALUE"""),"Ishøj")</f>
        <v>Ishøj</v>
      </c>
      <c r="M16" s="2" t="str">
        <f ca="1">IFERROR(__xludf.DUMMYFUNCTION("""COMPUTED_VALUE"""),"Københavns omegn")</f>
        <v>Københavns omegn</v>
      </c>
      <c r="N16" s="2" t="str">
        <f ca="1">IFERROR(__xludf.DUMMYFUNCTION("""COMPUTED_VALUE"""),"Hovedstaden")</f>
        <v>Hovedstaden</v>
      </c>
      <c r="O16" s="2">
        <f ca="1">IFERROR(__xludf.DUMMYFUNCTION("""COMPUTED_VALUE"""),43547777)</f>
        <v>43547777</v>
      </c>
      <c r="P16" s="2" t="str">
        <f ca="1">IFERROR(__xludf.DUMMYFUNCTION("""COMPUTED_VALUE"""),"2635@estate.dk")</f>
        <v>2635@estate.dk</v>
      </c>
      <c r="Q16" s="27" t="str">
        <f ca="1">IFERROR(__xludf.DUMMYFUNCTION("""COMPUTED_VALUE"""),"https://www.boliga.dk/maegler/25103")</f>
        <v>https://www.boliga.dk/maegler/25103</v>
      </c>
      <c r="R16" s="2" t="str">
        <f ca="1">IFERROR(__xludf.DUMMYFUNCTION("""COMPUTED_VALUE"""),"-")</f>
        <v>-</v>
      </c>
      <c r="S16" s="2" t="str">
        <f ca="1">IFERROR(__xludf.DUMMYFUNCTION("""COMPUTED_VALUE"""),"-")</f>
        <v>-</v>
      </c>
      <c r="T16" s="2" t="str">
        <f ca="1">IFERROR(__xludf.DUMMYFUNCTION("""COMPUTED_VALUE"""),"-")</f>
        <v>-</v>
      </c>
      <c r="U16" s="2">
        <f ca="1">IFERROR(__xludf.DUMMYFUNCTION("""COMPUTED_VALUE"""),15)</f>
        <v>15</v>
      </c>
      <c r="V16" s="2" t="str">
        <f ca="1">IFERROR(__xludf.DUMMYFUNCTION("""COMPUTED_VALUE"""),"2665, 2660, 2635")</f>
        <v>2665, 2660, 2635</v>
      </c>
      <c r="W16" s="2">
        <f ca="1">IFERROR(__xludf.DUMMYFUNCTION("""COMPUTED_VALUE"""),31)</f>
        <v>31</v>
      </c>
      <c r="X16" s="2" t="str">
        <f ca="1">IFERROR(__xludf.DUMMYFUNCTION("""COMPUTED_VALUE"""),"2635, 2600, 2300, 2665")</f>
        <v>2635, 2600, 2300, 2665</v>
      </c>
      <c r="Y16" s="2" t="str">
        <f ca="1">IFERROR(__xludf.DUMMYFUNCTION("""COMPUTED_VALUE"""),"ja")</f>
        <v>ja</v>
      </c>
      <c r="Z16" s="2" t="str">
        <f ca="1">IFERROR(__xludf.DUMMYFUNCTION("""COMPUTED_VALUE"""),"han er klar - gensendt mail 29/6")</f>
        <v>han er klar - gensendt mail 29/6</v>
      </c>
      <c r="AA16" s="25"/>
      <c r="AB16" s="2" t="str">
        <f ca="1">IFERROR(__xludf.DUMMYFUNCTION("""COMPUTED_VALUE"""),"x")</f>
        <v>x</v>
      </c>
      <c r="AC16" s="2"/>
    </row>
    <row r="17" spans="1:29" ht="15.75" customHeight="1">
      <c r="A17" s="2" t="str">
        <f ca="1">IFERROR(__xludf.DUMMYFUNCTION("""COMPUTED_VALUE"""),"Christian")</f>
        <v>Christian</v>
      </c>
      <c r="B17" s="2" t="str">
        <f ca="1">IFERROR(__xludf.DUMMYFUNCTION("""COMPUTED_VALUE"""),"Estate Algren - Aalborg")</f>
        <v>Estate Algren - Aalborg</v>
      </c>
      <c r="C17" s="2" t="str">
        <f ca="1">IFERROR(__xludf.DUMMYFUNCTION("""COMPUTED_VALUE"""),"38 24 76 89")</f>
        <v>38 24 76 89</v>
      </c>
      <c r="D17" s="2" t="str">
        <f ca="1">IFERROR(__xludf.DUMMYFUNCTION("""COMPUTED_VALUE"""),"MG-JY: 2.499,-")</f>
        <v>MG-JY: 2.499,-</v>
      </c>
      <c r="E17" s="2">
        <f ca="1">IFERROR(__xludf.DUMMYFUNCTION("""COMPUTED_VALUE"""),1201)</f>
        <v>1201</v>
      </c>
      <c r="F17" s="2" t="str">
        <f ca="1">IFERROR(__xludf.DUMMYFUNCTION("""COMPUTED_VALUE"""),"Thomas Algren")</f>
        <v>Thomas Algren</v>
      </c>
      <c r="G17" s="2" t="str">
        <f ca="1">IFERROR(__xludf.DUMMYFUNCTION("""COMPUTED_VALUE"""),"alt@estate.dk")</f>
        <v>alt@estate.dk</v>
      </c>
      <c r="H17" s="2"/>
      <c r="I17" s="2" t="str">
        <f ca="1">IFERROR(__xludf.DUMMYFUNCTION("""COMPUTED_VALUE"""),"Kastetvej 39")</f>
        <v>Kastetvej 39</v>
      </c>
      <c r="J17" s="2">
        <f ca="1">IFERROR(__xludf.DUMMYFUNCTION("""COMPUTED_VALUE"""),9000)</f>
        <v>9000</v>
      </c>
      <c r="K17" s="2" t="str">
        <f ca="1">IFERROR(__xludf.DUMMYFUNCTION("""COMPUTED_VALUE"""),"Aalborg")</f>
        <v>Aalborg</v>
      </c>
      <c r="L17" s="2" t="str">
        <f ca="1">IFERROR(__xludf.DUMMYFUNCTION("""COMPUTED_VALUE"""),"Aalborg")</f>
        <v>Aalborg</v>
      </c>
      <c r="M17" s="2" t="str">
        <f ca="1">IFERROR(__xludf.DUMMYFUNCTION("""COMPUTED_VALUE"""),"Nordjylland")</f>
        <v>Nordjylland</v>
      </c>
      <c r="N17" s="2" t="str">
        <f ca="1">IFERROR(__xludf.DUMMYFUNCTION("""COMPUTED_VALUE"""),"Nordjylland")</f>
        <v>Nordjylland</v>
      </c>
      <c r="O17" s="2">
        <f ca="1">IFERROR(__xludf.DUMMYFUNCTION("""COMPUTED_VALUE"""),98134020)</f>
        <v>98134020</v>
      </c>
      <c r="P17" s="2" t="str">
        <f ca="1">IFERROR(__xludf.DUMMYFUNCTION("""COMPUTED_VALUE"""),"9000@estate.dk")</f>
        <v>9000@estate.dk</v>
      </c>
      <c r="Q17" s="27" t="str">
        <f ca="1">IFERROR(__xludf.DUMMYFUNCTION("""COMPUTED_VALUE"""),"https://www.boliga.dk/maegler/25110")</f>
        <v>https://www.boliga.dk/maegler/25110</v>
      </c>
      <c r="R17" s="2" t="str">
        <f ca="1">IFERROR(__xludf.DUMMYFUNCTION("""COMPUTED_VALUE"""),"-")</f>
        <v>-</v>
      </c>
      <c r="S17" s="2" t="str">
        <f ca="1">IFERROR(__xludf.DUMMYFUNCTION("""COMPUTED_VALUE"""),"-")</f>
        <v>-</v>
      </c>
      <c r="T17" s="2" t="str">
        <f ca="1">IFERROR(__xludf.DUMMYFUNCTION("""COMPUTED_VALUE"""),"-")</f>
        <v>-</v>
      </c>
      <c r="U17" s="2">
        <f ca="1">IFERROR(__xludf.DUMMYFUNCTION("""COMPUTED_VALUE"""),20)</f>
        <v>20</v>
      </c>
      <c r="V17" s="2" t="str">
        <f ca="1">IFERROR(__xludf.DUMMYFUNCTION("""COMPUTED_VALUE"""),"9280, 9000, 9210, 9440, 9990, 9260")</f>
        <v>9280, 9000, 9210, 9440, 9990, 9260</v>
      </c>
      <c r="W17" s="2">
        <f ca="1">IFERROR(__xludf.DUMMYFUNCTION("""COMPUTED_VALUE"""),13)</f>
        <v>13</v>
      </c>
      <c r="X17" s="2" t="str">
        <f ca="1">IFERROR(__xludf.DUMMYFUNCTION("""COMPUTED_VALUE"""),"9210, 9000, 9260, 9270, 9440")</f>
        <v>9210, 9000, 9260, 9270, 9440</v>
      </c>
      <c r="Y17" s="2" t="str">
        <f ca="1">IFERROR(__xludf.DUMMYFUNCTION("""COMPUTED_VALUE"""),"ja")</f>
        <v>ja</v>
      </c>
      <c r="Z17" s="2" t="str">
        <f ca="1">IFERROR(__xludf.DUMMYFUNCTION("""COMPUTED_VALUE"""),"ja")</f>
        <v>ja</v>
      </c>
      <c r="AA17" s="25"/>
      <c r="AB17" s="2" t="str">
        <f ca="1">IFERROR(__xludf.DUMMYFUNCTION("""COMPUTED_VALUE"""),"x")</f>
        <v>x</v>
      </c>
      <c r="AC17" s="2" t="str">
        <f ca="1">IFERROR(__xludf.DUMMYFUNCTION("""COMPUTED_VALUE"""),"x")</f>
        <v>x</v>
      </c>
    </row>
    <row r="18" spans="1:29" ht="15.75" customHeight="1">
      <c r="A18" s="2" t="str">
        <f ca="1">IFERROR(__xludf.DUMMYFUNCTION("""COMPUTED_VALUE"""),"Christian")</f>
        <v>Christian</v>
      </c>
      <c r="B18" s="2" t="str">
        <f ca="1">IFERROR(__xludf.DUMMYFUNCTION("""COMPUTED_VALUE"""),"Estate Allerød")</f>
        <v>Estate Allerød</v>
      </c>
      <c r="C18" s="2" t="str">
        <f ca="1">IFERROR(__xludf.DUMMYFUNCTION("""COMPUTED_VALUE"""),"26 24 89 06")</f>
        <v>26 24 89 06</v>
      </c>
      <c r="D18" s="2" t="str">
        <f ca="1">IFERROR(__xludf.DUMMYFUNCTION("""COMPUTED_VALUE"""),"MG-SJ: 3.499,-")</f>
        <v>MG-SJ: 3.499,-</v>
      </c>
      <c r="E18" s="2">
        <f ca="1">IFERROR(__xludf.DUMMYFUNCTION("""COMPUTED_VALUE"""),1202)</f>
        <v>1202</v>
      </c>
      <c r="F18" s="2" t="str">
        <f ca="1">IFERROR(__xludf.DUMMYFUNCTION("""COMPUTED_VALUE"""),"Lars Kynne Frandsen")</f>
        <v>Lars Kynne Frandsen</v>
      </c>
      <c r="G18" s="2" t="str">
        <f ca="1">IFERROR(__xludf.DUMMYFUNCTION("""COMPUTED_VALUE"""),"lfn@estate.dk")</f>
        <v>lfn@estate.dk</v>
      </c>
      <c r="H18" s="2"/>
      <c r="I18" s="2" t="str">
        <f ca="1">IFERROR(__xludf.DUMMYFUNCTION("""COMPUTED_VALUE"""),"Frederiksborgvej 10")</f>
        <v>Frederiksborgvej 10</v>
      </c>
      <c r="J18" s="2">
        <f ca="1">IFERROR(__xludf.DUMMYFUNCTION("""COMPUTED_VALUE"""),3450)</f>
        <v>3450</v>
      </c>
      <c r="K18" s="2" t="str">
        <f ca="1">IFERROR(__xludf.DUMMYFUNCTION("""COMPUTED_VALUE"""),"Allerød")</f>
        <v>Allerød</v>
      </c>
      <c r="L18" s="2" t="str">
        <f ca="1">IFERROR(__xludf.DUMMYFUNCTION("""COMPUTED_VALUE"""),"Allerød")</f>
        <v>Allerød</v>
      </c>
      <c r="M18" s="2" t="str">
        <f ca="1">IFERROR(__xludf.DUMMYFUNCTION("""COMPUTED_VALUE"""),"Nordsjælland")</f>
        <v>Nordsjælland</v>
      </c>
      <c r="N18" s="2" t="str">
        <f ca="1">IFERROR(__xludf.DUMMYFUNCTION("""COMPUTED_VALUE"""),"Hovedstaden")</f>
        <v>Hovedstaden</v>
      </c>
      <c r="O18" s="2">
        <f ca="1">IFERROR(__xludf.DUMMYFUNCTION("""COMPUTED_VALUE"""),48141900)</f>
        <v>48141900</v>
      </c>
      <c r="P18" s="2" t="str">
        <f ca="1">IFERROR(__xludf.DUMMYFUNCTION("""COMPUTED_VALUE"""),"3450@estate.dk")</f>
        <v>3450@estate.dk</v>
      </c>
      <c r="Q18" s="27" t="str">
        <f ca="1">IFERROR(__xludf.DUMMYFUNCTION("""COMPUTED_VALUE"""),"https://www.boliga.dk/maegler/25149")</f>
        <v>https://www.boliga.dk/maegler/25149</v>
      </c>
      <c r="R18" s="2" t="str">
        <f ca="1">IFERROR(__xludf.DUMMYFUNCTION("""COMPUTED_VALUE"""),"-")</f>
        <v>-</v>
      </c>
      <c r="S18" s="2" t="str">
        <f ca="1">IFERROR(__xludf.DUMMYFUNCTION("""COMPUTED_VALUE"""),"-")</f>
        <v>-</v>
      </c>
      <c r="T18" s="2" t="str">
        <f ca="1">IFERROR(__xludf.DUMMYFUNCTION("""COMPUTED_VALUE"""),"-")</f>
        <v>-</v>
      </c>
      <c r="U18" s="2">
        <f ca="1">IFERROR(__xludf.DUMMYFUNCTION("""COMPUTED_VALUE"""),5)</f>
        <v>5</v>
      </c>
      <c r="V18" s="2">
        <f ca="1">IFERROR(__xludf.DUMMYFUNCTION("""COMPUTED_VALUE"""),3450)</f>
        <v>3450</v>
      </c>
      <c r="W18" s="2">
        <f ca="1">IFERROR(__xludf.DUMMYFUNCTION("""COMPUTED_VALUE"""),15)</f>
        <v>15</v>
      </c>
      <c r="X18" s="2" t="str">
        <f ca="1">IFERROR(__xludf.DUMMYFUNCTION("""COMPUTED_VALUE"""),"3450, 3550")</f>
        <v>3450, 3550</v>
      </c>
      <c r="Y18" s="2" t="str">
        <f ca="1">IFERROR(__xludf.DUMMYFUNCTION("""COMPUTED_VALUE"""),"ja")</f>
        <v>ja</v>
      </c>
      <c r="Z18" s="2" t="str">
        <f ca="1">IFERROR(__xludf.DUMMYFUNCTION("""COMPUTED_VALUE"""),"han syntes det var lidt dyrt - men hvis det er kvali er det ok")</f>
        <v>han syntes det var lidt dyrt - men hvis det er kvali er det ok</v>
      </c>
      <c r="AA18" s="25"/>
      <c r="AB18" s="2" t="str">
        <f ca="1">IFERROR(__xludf.DUMMYFUNCTION("""COMPUTED_VALUE"""),"x")</f>
        <v>x</v>
      </c>
      <c r="AC18" s="2" t="str">
        <f ca="1">IFERROR(__xludf.DUMMYFUNCTION("""COMPUTED_VALUE"""),"x")</f>
        <v>x</v>
      </c>
    </row>
    <row r="19" spans="1:29" ht="15.75" customHeight="1">
      <c r="A19" s="2" t="str">
        <f ca="1">IFERROR(__xludf.DUMMYFUNCTION("""COMPUTED_VALUE"""),"Christian")</f>
        <v>Christian</v>
      </c>
      <c r="B19" s="2" t="str">
        <f ca="1">IFERROR(__xludf.DUMMYFUNCTION("""COMPUTED_VALUE"""),"Estate Egedal - Forland &amp; Kruse")</f>
        <v>Estate Egedal - Forland &amp; Kruse</v>
      </c>
      <c r="C19" s="2">
        <f ca="1">IFERROR(__xludf.DUMMYFUNCTION("""COMPUTED_VALUE"""),34009813)</f>
        <v>34009813</v>
      </c>
      <c r="D19" s="2" t="str">
        <f ca="1">IFERROR(__xludf.DUMMYFUNCTION("""COMPUTED_VALUE"""),"MG-SJ: 3.499,-")</f>
        <v>MG-SJ: 3.499,-</v>
      </c>
      <c r="E19" s="2">
        <f ca="1">IFERROR(__xludf.DUMMYFUNCTION("""COMPUTED_VALUE"""),1202)</f>
        <v>1202</v>
      </c>
      <c r="F19" s="2" t="str">
        <f ca="1">IFERROR(__xludf.DUMMYFUNCTION("""COMPUTED_VALUE"""),"Henning Forland")</f>
        <v>Henning Forland</v>
      </c>
      <c r="G19" s="2" t="str">
        <f ca="1">IFERROR(__xludf.DUMMYFUNCTION("""COMPUTED_VALUE"""),"hfo@estate.dk")</f>
        <v>hfo@estate.dk</v>
      </c>
      <c r="H19" s="2"/>
      <c r="I19" s="2" t="str">
        <f ca="1">IFERROR(__xludf.DUMMYFUNCTION("""COMPUTED_VALUE"""),"Egedal Ventret 95E")</f>
        <v>Egedal Ventret 95E</v>
      </c>
      <c r="J19" s="2">
        <f ca="1">IFERROR(__xludf.DUMMYFUNCTION("""COMPUTED_VALUE"""),3660)</f>
        <v>3660</v>
      </c>
      <c r="K19" s="2" t="str">
        <f ca="1">IFERROR(__xludf.DUMMYFUNCTION("""COMPUTED_VALUE"""),"Stenløse")</f>
        <v>Stenløse</v>
      </c>
      <c r="L19" s="2" t="str">
        <f ca="1">IFERROR(__xludf.DUMMYFUNCTION("""COMPUTED_VALUE"""),"Egedal")</f>
        <v>Egedal</v>
      </c>
      <c r="M19" s="2" t="str">
        <f ca="1">IFERROR(__xludf.DUMMYFUNCTION("""COMPUTED_VALUE"""),"Nordsjælland")</f>
        <v>Nordsjælland</v>
      </c>
      <c r="N19" s="2" t="str">
        <f ca="1">IFERROR(__xludf.DUMMYFUNCTION("""COMPUTED_VALUE"""),"Hovedstaden")</f>
        <v>Hovedstaden</v>
      </c>
      <c r="O19" s="2">
        <f ca="1">IFERROR(__xludf.DUMMYFUNCTION("""COMPUTED_VALUE"""),47176666)</f>
        <v>47176666</v>
      </c>
      <c r="P19" s="2" t="str">
        <f ca="1">IFERROR(__xludf.DUMMYFUNCTION("""COMPUTED_VALUE"""),"3660@estate.dk")</f>
        <v>3660@estate.dk</v>
      </c>
      <c r="Q19" s="27" t="str">
        <f ca="1">IFERROR(__xludf.DUMMYFUNCTION("""COMPUTED_VALUE"""),"https://www.boliga.dk/maegler/25147")</f>
        <v>https://www.boliga.dk/maegler/25147</v>
      </c>
      <c r="R19" s="2" t="str">
        <f ca="1">IFERROR(__xludf.DUMMYFUNCTION("""COMPUTED_VALUE"""),"-")</f>
        <v>-</v>
      </c>
      <c r="S19" s="2" t="str">
        <f ca="1">IFERROR(__xludf.DUMMYFUNCTION("""COMPUTED_VALUE"""),"-")</f>
        <v>-</v>
      </c>
      <c r="T19" s="2" t="str">
        <f ca="1">IFERROR(__xludf.DUMMYFUNCTION("""COMPUTED_VALUE"""),"-")</f>
        <v>-</v>
      </c>
      <c r="U19" s="2">
        <f ca="1">IFERROR(__xludf.DUMMYFUNCTION("""COMPUTED_VALUE"""),4)</f>
        <v>4</v>
      </c>
      <c r="V19" s="2" t="str">
        <f ca="1">IFERROR(__xludf.DUMMYFUNCTION("""COMPUTED_VALUE"""),"3650, 3660")</f>
        <v>3650, 3660</v>
      </c>
      <c r="W19" s="2">
        <f ca="1">IFERROR(__xludf.DUMMYFUNCTION("""COMPUTED_VALUE"""),15)</f>
        <v>15</v>
      </c>
      <c r="X19" s="2" t="str">
        <f ca="1">IFERROR(__xludf.DUMMYFUNCTION("""COMPUTED_VALUE"""),"3660, 3650")</f>
        <v>3660, 3650</v>
      </c>
      <c r="Y19" s="2" t="str">
        <f ca="1">IFERROR(__xludf.DUMMYFUNCTION("""COMPUTED_VALUE"""),"ja")</f>
        <v>ja</v>
      </c>
      <c r="Z19" s="2" t="str">
        <f ca="1">IFERROR(__xludf.DUMMYFUNCTION("""COMPUTED_VALUE"""),"han er med - sendt opf mail 29/6")</f>
        <v>han er med - sendt opf mail 29/6</v>
      </c>
      <c r="AA19" s="25"/>
      <c r="AB19" s="2" t="str">
        <f ca="1">IFERROR(__xludf.DUMMYFUNCTION("""COMPUTED_VALUE"""),"x")</f>
        <v>x</v>
      </c>
      <c r="AC19" s="2" t="str">
        <f ca="1">IFERROR(__xludf.DUMMYFUNCTION("""COMPUTED_VALUE"""),"x")</f>
        <v>x</v>
      </c>
    </row>
    <row r="20" spans="1:29" ht="15.75" customHeight="1">
      <c r="A20" s="2" t="str">
        <f ca="1">IFERROR(__xludf.DUMMYFUNCTION("""COMPUTED_VALUE"""),"Christian")</f>
        <v>Christian</v>
      </c>
      <c r="B20" s="2" t="str">
        <f ca="1">IFERROR(__xludf.DUMMYFUNCTION("""COMPUTED_VALUE"""),"Estate Helsingør - Morten Friis")</f>
        <v>Estate Helsingør - Morten Friis</v>
      </c>
      <c r="C20" s="2">
        <f ca="1">IFERROR(__xludf.DUMMYFUNCTION("""COMPUTED_VALUE"""),29245045)</f>
        <v>29245045</v>
      </c>
      <c r="D20" s="2" t="str">
        <f ca="1">IFERROR(__xludf.DUMMYFUNCTION("""COMPUTED_VALUE"""),"MG-SJ: 3.499,-")</f>
        <v>MG-SJ: 3.499,-</v>
      </c>
      <c r="E20" s="2">
        <f ca="1">IFERROR(__xludf.DUMMYFUNCTION("""COMPUTED_VALUE"""),1202)</f>
        <v>1202</v>
      </c>
      <c r="F20" s="2" t="str">
        <f ca="1">IFERROR(__xludf.DUMMYFUNCTION("""COMPUTED_VALUE"""),"Morten Friis")</f>
        <v>Morten Friis</v>
      </c>
      <c r="G20" s="2" t="str">
        <f ca="1">IFERROR(__xludf.DUMMYFUNCTION("""COMPUTED_VALUE"""),"frn@estate.dk")</f>
        <v>frn@estate.dk</v>
      </c>
      <c r="H20" s="2"/>
      <c r="I20" s="2" t="str">
        <f ca="1">IFERROR(__xludf.DUMMYFUNCTION("""COMPUTED_VALUE"""),"Kongevejen 15")</f>
        <v>Kongevejen 15</v>
      </c>
      <c r="J20" s="2">
        <f ca="1">IFERROR(__xludf.DUMMYFUNCTION("""COMPUTED_VALUE"""),3000)</f>
        <v>3000</v>
      </c>
      <c r="K20" s="2" t="str">
        <f ca="1">IFERROR(__xludf.DUMMYFUNCTION("""COMPUTED_VALUE"""),"Helsingør")</f>
        <v>Helsingør</v>
      </c>
      <c r="L20" s="2" t="str">
        <f ca="1">IFERROR(__xludf.DUMMYFUNCTION("""COMPUTED_VALUE"""),"Helsingør")</f>
        <v>Helsingør</v>
      </c>
      <c r="M20" s="2" t="str">
        <f ca="1">IFERROR(__xludf.DUMMYFUNCTION("""COMPUTED_VALUE"""),"Nordsjælland")</f>
        <v>Nordsjælland</v>
      </c>
      <c r="N20" s="2" t="str">
        <f ca="1">IFERROR(__xludf.DUMMYFUNCTION("""COMPUTED_VALUE"""),"Hovedstaden")</f>
        <v>Hovedstaden</v>
      </c>
      <c r="O20" s="2">
        <f ca="1">IFERROR(__xludf.DUMMYFUNCTION("""COMPUTED_VALUE"""),49212223)</f>
        <v>49212223</v>
      </c>
      <c r="P20" s="2" t="str">
        <f ca="1">IFERROR(__xludf.DUMMYFUNCTION("""COMPUTED_VALUE"""),"3000@estate.dk")</f>
        <v>3000@estate.dk</v>
      </c>
      <c r="Q20" s="27" t="str">
        <f ca="1">IFERROR(__xludf.DUMMYFUNCTION("""COMPUTED_VALUE"""),"https://www.boliga.dk/maegler/25617")</f>
        <v>https://www.boliga.dk/maegler/25617</v>
      </c>
      <c r="R20" s="2" t="str">
        <f ca="1">IFERROR(__xludf.DUMMYFUNCTION("""COMPUTED_VALUE"""),"-")</f>
        <v>-</v>
      </c>
      <c r="S20" s="2" t="str">
        <f ca="1">IFERROR(__xludf.DUMMYFUNCTION("""COMPUTED_VALUE"""),"-")</f>
        <v>-</v>
      </c>
      <c r="T20" s="2" t="str">
        <f ca="1">IFERROR(__xludf.DUMMYFUNCTION("""COMPUTED_VALUE"""),"-")</f>
        <v>-</v>
      </c>
      <c r="U20" s="2">
        <f ca="1">IFERROR(__xludf.DUMMYFUNCTION("""COMPUTED_VALUE"""),23)</f>
        <v>23</v>
      </c>
      <c r="V20" s="2" t="str">
        <f ca="1">IFERROR(__xludf.DUMMYFUNCTION("""COMPUTED_VALUE"""),"3070, 3000, 3080, 3060, 3140")</f>
        <v>3070, 3000, 3080, 3060, 3140</v>
      </c>
      <c r="W20" s="2">
        <f ca="1">IFERROR(__xludf.DUMMYFUNCTION("""COMPUTED_VALUE"""),21)</f>
        <v>21</v>
      </c>
      <c r="X20" s="2" t="str">
        <f ca="1">IFERROR(__xludf.DUMMYFUNCTION("""COMPUTED_VALUE"""),"3070, 3000, 3490, 3080, 3100, 3120, 3140")</f>
        <v>3070, 3000, 3490, 3080, 3100, 3120, 3140</v>
      </c>
      <c r="Y20" s="2" t="str">
        <f ca="1">IFERROR(__xludf.DUMMYFUNCTION("""COMPUTED_VALUE"""),"ja")</f>
        <v>ja</v>
      </c>
      <c r="Z20" s="2" t="str">
        <f ca="1">IFERROR(__xludf.DUMMYFUNCTION("""COMPUTED_VALUE"""),"han er klar")</f>
        <v>han er klar</v>
      </c>
      <c r="AA20" s="25"/>
      <c r="AB20" s="2" t="str">
        <f ca="1">IFERROR(__xludf.DUMMYFUNCTION("""COMPUTED_VALUE"""),"x")</f>
        <v>x</v>
      </c>
      <c r="AC20" s="2" t="str">
        <f ca="1">IFERROR(__xludf.DUMMYFUNCTION("""COMPUTED_VALUE"""),"x")</f>
        <v>x</v>
      </c>
    </row>
    <row r="21" spans="1:29" ht="15.75" customHeight="1">
      <c r="A21" s="2" t="str">
        <f ca="1">IFERROR(__xludf.DUMMYFUNCTION("""COMPUTED_VALUE"""),"Christian")</f>
        <v>Christian</v>
      </c>
      <c r="B21" s="2" t="str">
        <f ca="1">IFERROR(__xludf.DUMMYFUNCTION("""COMPUTED_VALUE"""),"Estate Hillerød")</f>
        <v>Estate Hillerød</v>
      </c>
      <c r="C21" s="2" t="str">
        <f ca="1">IFERROR(__xludf.DUMMYFUNCTION("""COMPUTED_VALUE"""),"26 24 89 06")</f>
        <v>26 24 89 06</v>
      </c>
      <c r="D21" s="2" t="str">
        <f ca="1">IFERROR(__xludf.DUMMYFUNCTION("""COMPUTED_VALUE"""),"MG-SJ: 3.499,-")</f>
        <v>MG-SJ: 3.499,-</v>
      </c>
      <c r="E21" s="2">
        <f ca="1">IFERROR(__xludf.DUMMYFUNCTION("""COMPUTED_VALUE"""),1202)</f>
        <v>1202</v>
      </c>
      <c r="F21" s="2" t="str">
        <f ca="1">IFERROR(__xludf.DUMMYFUNCTION("""COMPUTED_VALUE"""),"Lars Kynne Frandsen")</f>
        <v>Lars Kynne Frandsen</v>
      </c>
      <c r="G21" s="2" t="str">
        <f ca="1">IFERROR(__xludf.DUMMYFUNCTION("""COMPUTED_VALUE"""),"lfn@estate.dk")</f>
        <v>lfn@estate.dk</v>
      </c>
      <c r="H21" s="2"/>
      <c r="I21" s="2" t="str">
        <f ca="1">IFERROR(__xludf.DUMMYFUNCTION("""COMPUTED_VALUE"""),"Frederiksværksgade 15B")</f>
        <v>Frederiksværksgade 15B</v>
      </c>
      <c r="J21" s="2">
        <f ca="1">IFERROR(__xludf.DUMMYFUNCTION("""COMPUTED_VALUE"""),3400)</f>
        <v>3400</v>
      </c>
      <c r="K21" s="2" t="str">
        <f ca="1">IFERROR(__xludf.DUMMYFUNCTION("""COMPUTED_VALUE"""),"Hillerød")</f>
        <v>Hillerød</v>
      </c>
      <c r="L21" s="2" t="str">
        <f ca="1">IFERROR(__xludf.DUMMYFUNCTION("""COMPUTED_VALUE"""),"Hillerød")</f>
        <v>Hillerød</v>
      </c>
      <c r="M21" s="2" t="str">
        <f ca="1">IFERROR(__xludf.DUMMYFUNCTION("""COMPUTED_VALUE"""),"Nordsjælland")</f>
        <v>Nordsjælland</v>
      </c>
      <c r="N21" s="2" t="str">
        <f ca="1">IFERROR(__xludf.DUMMYFUNCTION("""COMPUTED_VALUE"""),"Hovedstaden")</f>
        <v>Hovedstaden</v>
      </c>
      <c r="O21" s="2">
        <f ca="1">IFERROR(__xludf.DUMMYFUNCTION("""COMPUTED_VALUE"""),48251900)</f>
        <v>48251900</v>
      </c>
      <c r="P21" s="2" t="str">
        <f ca="1">IFERROR(__xludf.DUMMYFUNCTION("""COMPUTED_VALUE"""),"3400@estate.dk")</f>
        <v>3400@estate.dk</v>
      </c>
      <c r="Q21" s="27" t="str">
        <f ca="1">IFERROR(__xludf.DUMMYFUNCTION("""COMPUTED_VALUE"""),"https://www.boliga.dk/maegler/25150")</f>
        <v>https://www.boliga.dk/maegler/25150</v>
      </c>
      <c r="R21" s="2" t="str">
        <f ca="1">IFERROR(__xludf.DUMMYFUNCTION("""COMPUTED_VALUE"""),"-")</f>
        <v>-</v>
      </c>
      <c r="S21" s="2" t="str">
        <f ca="1">IFERROR(__xludf.DUMMYFUNCTION("""COMPUTED_VALUE"""),"-")</f>
        <v>-</v>
      </c>
      <c r="T21" s="2" t="str">
        <f ca="1">IFERROR(__xludf.DUMMYFUNCTION("""COMPUTED_VALUE"""),"-")</f>
        <v>-</v>
      </c>
      <c r="U21" s="2">
        <f ca="1">IFERROR(__xludf.DUMMYFUNCTION("""COMPUTED_VALUE"""),14)</f>
        <v>14</v>
      </c>
      <c r="V21" s="2" t="str">
        <f ca="1">IFERROR(__xludf.DUMMYFUNCTION("""COMPUTED_VALUE"""),"3480, 3230, 3400")</f>
        <v>3480, 3230, 3400</v>
      </c>
      <c r="W21" s="2">
        <f ca="1">IFERROR(__xludf.DUMMYFUNCTION("""COMPUTED_VALUE"""),18)</f>
        <v>18</v>
      </c>
      <c r="X21" s="2" t="str">
        <f ca="1">IFERROR(__xludf.DUMMYFUNCTION("""COMPUTED_VALUE"""),"3330, 3450, 3320, 3400")</f>
        <v>3330, 3450, 3320, 3400</v>
      </c>
      <c r="Y21" s="2" t="str">
        <f ca="1">IFERROR(__xludf.DUMMYFUNCTION("""COMPUTED_VALUE"""),"ja")</f>
        <v>ja</v>
      </c>
      <c r="Z21" s="2"/>
      <c r="AA21" s="25"/>
      <c r="AB21" s="2" t="str">
        <f ca="1">IFERROR(__xludf.DUMMYFUNCTION("""COMPUTED_VALUE"""),"x")</f>
        <v>x</v>
      </c>
      <c r="AC21" s="2" t="str">
        <f ca="1">IFERROR(__xludf.DUMMYFUNCTION("""COMPUTED_VALUE"""),"x")</f>
        <v>x</v>
      </c>
    </row>
    <row r="22" spans="1:29" ht="15.75" customHeight="1">
      <c r="A22" s="2" t="str">
        <f ca="1">IFERROR(__xludf.DUMMYFUNCTION("""COMPUTED_VALUE"""),"Christian")</f>
        <v>Christian</v>
      </c>
      <c r="B22" s="2" t="str">
        <f ca="1">IFERROR(__xludf.DUMMYFUNCTION("""COMPUTED_VALUE"""),"Estate Hornsherred")</f>
        <v>Estate Hornsherred</v>
      </c>
      <c r="C22" s="2">
        <f ca="1">IFERROR(__xludf.DUMMYFUNCTION("""COMPUTED_VALUE"""),25656598)</f>
        <v>25656598</v>
      </c>
      <c r="D22" s="2" t="str">
        <f ca="1">IFERROR(__xludf.DUMMYFUNCTION("""COMPUTED_VALUE"""),"MG-SJ: 3.499,-")</f>
        <v>MG-SJ: 3.499,-</v>
      </c>
      <c r="E22" s="2">
        <f ca="1">IFERROR(__xludf.DUMMYFUNCTION("""COMPUTED_VALUE"""),1202)</f>
        <v>1202</v>
      </c>
      <c r="F22" s="2" t="str">
        <f ca="1">IFERROR(__xludf.DUMMYFUNCTION("""COMPUTED_VALUE"""),"Camilla Skøtt")</f>
        <v>Camilla Skøtt</v>
      </c>
      <c r="G22" s="2" t="str">
        <f ca="1">IFERROR(__xludf.DUMMYFUNCTION("""COMPUTED_VALUE"""),"kot@estate.dk")</f>
        <v>kot@estate.dk</v>
      </c>
      <c r="H22" s="2"/>
      <c r="I22" s="2" t="str">
        <f ca="1">IFERROR(__xludf.DUMMYFUNCTION("""COMPUTED_VALUE"""),"Hovedgaden 4A")</f>
        <v>Hovedgaden 4A</v>
      </c>
      <c r="J22" s="2">
        <f ca="1">IFERROR(__xludf.DUMMYFUNCTION("""COMPUTED_VALUE"""),4050)</f>
        <v>4050</v>
      </c>
      <c r="K22" s="2" t="str">
        <f ca="1">IFERROR(__xludf.DUMMYFUNCTION("""COMPUTED_VALUE"""),"Skibby")</f>
        <v>Skibby</v>
      </c>
      <c r="L22" s="2" t="str">
        <f ca="1">IFERROR(__xludf.DUMMYFUNCTION("""COMPUTED_VALUE"""),"Frederikssund")</f>
        <v>Frederikssund</v>
      </c>
      <c r="M22" s="2" t="str">
        <f ca="1">IFERROR(__xludf.DUMMYFUNCTION("""COMPUTED_VALUE"""),"Nordsjælland")</f>
        <v>Nordsjælland</v>
      </c>
      <c r="N22" s="2" t="str">
        <f ca="1">IFERROR(__xludf.DUMMYFUNCTION("""COMPUTED_VALUE"""),"Hovedstaden")</f>
        <v>Hovedstaden</v>
      </c>
      <c r="O22" s="2">
        <f ca="1">IFERROR(__xludf.DUMMYFUNCTION("""COMPUTED_VALUE"""),46404800)</f>
        <v>46404800</v>
      </c>
      <c r="P22" s="2" t="str">
        <f ca="1">IFERROR(__xludf.DUMMYFUNCTION("""COMPUTED_VALUE"""),"4050@estate.dk")</f>
        <v>4050@estate.dk</v>
      </c>
      <c r="Q22" s="27" t="str">
        <f ca="1">IFERROR(__xludf.DUMMYFUNCTION("""COMPUTED_VALUE"""),"https://www.boliga.dk/maegler/25429")</f>
        <v>https://www.boliga.dk/maegler/25429</v>
      </c>
      <c r="R22" s="2" t="str">
        <f ca="1">IFERROR(__xludf.DUMMYFUNCTION("""COMPUTED_VALUE"""),"-")</f>
        <v>-</v>
      </c>
      <c r="S22" s="2" t="str">
        <f ca="1">IFERROR(__xludf.DUMMYFUNCTION("""COMPUTED_VALUE"""),"-")</f>
        <v>-</v>
      </c>
      <c r="T22" s="2" t="str">
        <f ca="1">IFERROR(__xludf.DUMMYFUNCTION("""COMPUTED_VALUE"""),"-")</f>
        <v>-</v>
      </c>
      <c r="U22" s="2">
        <f ca="1">IFERROR(__xludf.DUMMYFUNCTION("""COMPUTED_VALUE"""),8)</f>
        <v>8</v>
      </c>
      <c r="V22" s="2" t="str">
        <f ca="1">IFERROR(__xludf.DUMMYFUNCTION("""COMPUTED_VALUE"""),"4070, 3630, 4050")</f>
        <v>4070, 3630, 4050</v>
      </c>
      <c r="W22" s="2">
        <f ca="1">IFERROR(__xludf.DUMMYFUNCTION("""COMPUTED_VALUE"""),20)</f>
        <v>20</v>
      </c>
      <c r="X22" s="2" t="str">
        <f ca="1">IFERROR(__xludf.DUMMYFUNCTION("""COMPUTED_VALUE"""),"4070, 4050")</f>
        <v>4070, 4050</v>
      </c>
      <c r="Y22" s="2" t="str">
        <f ca="1">IFERROR(__xludf.DUMMYFUNCTION("""COMPUTED_VALUE"""),"ja")</f>
        <v>ja</v>
      </c>
      <c r="Z22" s="2" t="str">
        <f ca="1">IFERROR(__xludf.DUMMYFUNCTION("""COMPUTED_VALUE"""),"camilla er klar, skal lige cleare med Ebbe")</f>
        <v>camilla er klar, skal lige cleare med Ebbe</v>
      </c>
      <c r="AA22" s="25"/>
      <c r="AB22" s="2" t="str">
        <f ca="1">IFERROR(__xludf.DUMMYFUNCTION("""COMPUTED_VALUE"""),"x")</f>
        <v>x</v>
      </c>
      <c r="AC22" s="2" t="str">
        <f ca="1">IFERROR(__xludf.DUMMYFUNCTION("""COMPUTED_VALUE"""),"x")</f>
        <v>x</v>
      </c>
    </row>
    <row r="23" spans="1:29" ht="15.75" customHeight="1">
      <c r="A23" s="2" t="str">
        <f ca="1">IFERROR(__xludf.DUMMYFUNCTION("""COMPUTED_VALUE"""),"Christian")</f>
        <v>Christian</v>
      </c>
      <c r="B23" s="2" t="str">
        <f ca="1">IFERROR(__xludf.DUMMYFUNCTION("""COMPUTED_VALUE"""),"Estate Marlene Hammerborg - Hørsholm")</f>
        <v>Estate Marlene Hammerborg - Hørsholm</v>
      </c>
      <c r="C23" s="2">
        <f ca="1">IFERROR(__xludf.DUMMYFUNCTION("""COMPUTED_VALUE"""),29245045)</f>
        <v>29245045</v>
      </c>
      <c r="D23" s="2" t="str">
        <f ca="1">IFERROR(__xludf.DUMMYFUNCTION("""COMPUTED_VALUE"""),"MG-SJ: 3.499,-")</f>
        <v>MG-SJ: 3.499,-</v>
      </c>
      <c r="E23" s="2">
        <f ca="1">IFERROR(__xludf.DUMMYFUNCTION("""COMPUTED_VALUE"""),1202)</f>
        <v>1202</v>
      </c>
      <c r="F23" s="2" t="str">
        <f ca="1">IFERROR(__xludf.DUMMYFUNCTION("""COMPUTED_VALUE"""),"Morten Friis")</f>
        <v>Morten Friis</v>
      </c>
      <c r="G23" s="2" t="str">
        <f ca="1">IFERROR(__xludf.DUMMYFUNCTION("""COMPUTED_VALUE"""),"frn@estate.dk")</f>
        <v>frn@estate.dk</v>
      </c>
      <c r="H23" s="2"/>
      <c r="I23" s="2" t="str">
        <f ca="1">IFERROR(__xludf.DUMMYFUNCTION("""COMPUTED_VALUE"""),"Usserød Kongevej 18, st.")</f>
        <v>Usserød Kongevej 18, st.</v>
      </c>
      <c r="J23" s="2">
        <f ca="1">IFERROR(__xludf.DUMMYFUNCTION("""COMPUTED_VALUE"""),2970)</f>
        <v>2970</v>
      </c>
      <c r="K23" s="2" t="str">
        <f ca="1">IFERROR(__xludf.DUMMYFUNCTION("""COMPUTED_VALUE"""),"Hørsholm")</f>
        <v>Hørsholm</v>
      </c>
      <c r="L23" s="2" t="str">
        <f ca="1">IFERROR(__xludf.DUMMYFUNCTION("""COMPUTED_VALUE"""),"Hørsholm")</f>
        <v>Hørsholm</v>
      </c>
      <c r="M23" s="2" t="str">
        <f ca="1">IFERROR(__xludf.DUMMYFUNCTION("""COMPUTED_VALUE"""),"Nordsjælland")</f>
        <v>Nordsjælland</v>
      </c>
      <c r="N23" s="2" t="str">
        <f ca="1">IFERROR(__xludf.DUMMYFUNCTION("""COMPUTED_VALUE"""),"Hovedstaden")</f>
        <v>Hovedstaden</v>
      </c>
      <c r="O23" s="2">
        <f ca="1">IFERROR(__xludf.DUMMYFUNCTION("""COMPUTED_VALUE"""),45767273)</f>
        <v>45767273</v>
      </c>
      <c r="P23" s="2" t="str">
        <f ca="1">IFERROR(__xludf.DUMMYFUNCTION("""COMPUTED_VALUE"""),"2970@estate.dk")</f>
        <v>2970@estate.dk</v>
      </c>
      <c r="Q23" s="27" t="str">
        <f ca="1">IFERROR(__xludf.DUMMYFUNCTION("""COMPUTED_VALUE"""),"https://www.boliga.dk/maegler/25152")</f>
        <v>https://www.boliga.dk/maegler/25152</v>
      </c>
      <c r="R23" s="2" t="str">
        <f ca="1">IFERROR(__xludf.DUMMYFUNCTION("""COMPUTED_VALUE"""),"-")</f>
        <v>-</v>
      </c>
      <c r="S23" s="2" t="str">
        <f ca="1">IFERROR(__xludf.DUMMYFUNCTION("""COMPUTED_VALUE"""),"-")</f>
        <v>-</v>
      </c>
      <c r="T23" s="2" t="str">
        <f ca="1">IFERROR(__xludf.DUMMYFUNCTION("""COMPUTED_VALUE"""),"-")</f>
        <v>-</v>
      </c>
      <c r="U23" s="2">
        <f ca="1">IFERROR(__xludf.DUMMYFUNCTION("""COMPUTED_VALUE"""),8)</f>
        <v>8</v>
      </c>
      <c r="V23" s="2" t="str">
        <f ca="1">IFERROR(__xludf.DUMMYFUNCTION("""COMPUTED_VALUE"""),"2980, 2970, 2960, 3080, 3460")</f>
        <v>2980, 2970, 2960, 3080, 3460</v>
      </c>
      <c r="W23" s="2">
        <f ca="1">IFERROR(__xludf.DUMMYFUNCTION("""COMPUTED_VALUE"""),14)</f>
        <v>14</v>
      </c>
      <c r="X23" s="2" t="str">
        <f ca="1">IFERROR(__xludf.DUMMYFUNCTION("""COMPUTED_VALUE"""),"2980, 2970, 2960, 3460")</f>
        <v>2980, 2970, 2960, 3460</v>
      </c>
      <c r="Y23" s="2" t="str">
        <f ca="1">IFERROR(__xludf.DUMMYFUNCTION("""COMPUTED_VALUE"""),"ja")</f>
        <v>ja</v>
      </c>
      <c r="Z23" s="2" t="str">
        <f ca="1">IFERROR(__xludf.DUMMYFUNCTION("""COMPUTED_VALUE"""),"se Estate Helsingør")</f>
        <v>se Estate Helsingør</v>
      </c>
      <c r="AA23" s="25"/>
      <c r="AB23" s="2" t="str">
        <f ca="1">IFERROR(__xludf.DUMMYFUNCTION("""COMPUTED_VALUE"""),"x")</f>
        <v>x</v>
      </c>
      <c r="AC23" s="2" t="str">
        <f ca="1">IFERROR(__xludf.DUMMYFUNCTION("""COMPUTED_VALUE"""),"x")</f>
        <v>x</v>
      </c>
    </row>
    <row r="24" spans="1:29" ht="12.45">
      <c r="A24" s="2" t="str">
        <f ca="1">IFERROR(__xludf.DUMMYFUNCTION("""COMPUTED_VALUE"""),"Christian")</f>
        <v>Christian</v>
      </c>
      <c r="B24" s="2" t="str">
        <f ca="1">IFERROR(__xludf.DUMMYFUNCTION("""COMPUTED_VALUE"""),"Estate Bo i Silkeborg ApS")</f>
        <v>Estate Bo i Silkeborg ApS</v>
      </c>
      <c r="C24" s="2">
        <f ca="1">IFERROR(__xludf.DUMMYFUNCTION("""COMPUTED_VALUE"""),30203836)</f>
        <v>30203836</v>
      </c>
      <c r="D24" s="2" t="str">
        <f ca="1">IFERROR(__xludf.DUMMYFUNCTION("""COMPUTED_VALUE"""),"MG-SJ: 3.499,-")</f>
        <v>MG-SJ: 3.499,-</v>
      </c>
      <c r="E24" s="2">
        <f ca="1">IFERROR(__xludf.DUMMYFUNCTION("""COMPUTED_VALUE"""),1202)</f>
        <v>1202</v>
      </c>
      <c r="F24" s="2" t="str">
        <f ca="1">IFERROR(__xludf.DUMMYFUNCTION("""COMPUTED_VALUE"""),"Bo Møller Nielsen")</f>
        <v>Bo Møller Nielsen</v>
      </c>
      <c r="G24" s="2" t="str">
        <f ca="1">IFERROR(__xludf.DUMMYFUNCTION("""COMPUTED_VALUE"""),"bmn@estate.dk")</f>
        <v>bmn@estate.dk</v>
      </c>
      <c r="H24" s="2"/>
      <c r="I24" s="2" t="str">
        <f ca="1">IFERROR(__xludf.DUMMYFUNCTION("""COMPUTED_VALUE"""),"Borgergade 49")</f>
        <v>Borgergade 49</v>
      </c>
      <c r="J24" s="2">
        <f ca="1">IFERROR(__xludf.DUMMYFUNCTION("""COMPUTED_VALUE"""),8600)</f>
        <v>8600</v>
      </c>
      <c r="K24" s="2" t="str">
        <f ca="1">IFERROR(__xludf.DUMMYFUNCTION("""COMPUTED_VALUE"""),"Silkeborg")</f>
        <v>Silkeborg</v>
      </c>
      <c r="L24" s="2" t="str">
        <f ca="1">IFERROR(__xludf.DUMMYFUNCTION("""COMPUTED_VALUE"""),"Silkeborg")</f>
        <v>Silkeborg</v>
      </c>
      <c r="M24" s="2" t="str">
        <f ca="1">IFERROR(__xludf.DUMMYFUNCTION("""COMPUTED_VALUE"""),"Østjylland")</f>
        <v>Østjylland</v>
      </c>
      <c r="N24" s="2" t="str">
        <f ca="1">IFERROR(__xludf.DUMMYFUNCTION("""COMPUTED_VALUE"""),"Midtjylland")</f>
        <v>Midtjylland</v>
      </c>
      <c r="O24" s="2">
        <f ca="1">IFERROR(__xludf.DUMMYFUNCTION("""COMPUTED_VALUE"""),86805600)</f>
        <v>86805600</v>
      </c>
      <c r="P24" s="2" t="str">
        <f ca="1">IFERROR(__xludf.DUMMYFUNCTION("""COMPUTED_VALUE"""),"8600@estate.dk")</f>
        <v>8600@estate.dk</v>
      </c>
      <c r="Q24" s="27" t="str">
        <f ca="1">IFERROR(__xludf.DUMMYFUNCTION("""COMPUTED_VALUE"""),"https://www.boliga.dk/maegler/25113")</f>
        <v>https://www.boliga.dk/maegler/25113</v>
      </c>
      <c r="R24" s="2" t="str">
        <f ca="1">IFERROR(__xludf.DUMMYFUNCTION("""COMPUTED_VALUE"""),"-")</f>
        <v>-</v>
      </c>
      <c r="S24" s="2" t="str">
        <f ca="1">IFERROR(__xludf.DUMMYFUNCTION("""COMPUTED_VALUE"""),"-")</f>
        <v>-</v>
      </c>
      <c r="T24" s="2" t="str">
        <f ca="1">IFERROR(__xludf.DUMMYFUNCTION("""COMPUTED_VALUE"""),"-")</f>
        <v>-</v>
      </c>
      <c r="U24" s="2">
        <f ca="1">IFERROR(__xludf.DUMMYFUNCTION("""COMPUTED_VALUE"""),19)</f>
        <v>19</v>
      </c>
      <c r="V24" s="2" t="str">
        <f ca="1">IFERROR(__xludf.DUMMYFUNCTION("""COMPUTED_VALUE"""),"8654, 8620, 8600, 8632, 8882, 8653")</f>
        <v>8654, 8620, 8600, 8632, 8882, 8653</v>
      </c>
      <c r="W24" s="2">
        <f ca="1">IFERROR(__xludf.DUMMYFUNCTION("""COMPUTED_VALUE"""),16)</f>
        <v>16</v>
      </c>
      <c r="X24" s="2" t="str">
        <f ca="1">IFERROR(__xludf.DUMMYFUNCTION("""COMPUTED_VALUE"""),"8882, 8632, 8600, 7620, 8960")</f>
        <v>8882, 8632, 8600, 7620, 8960</v>
      </c>
      <c r="Y24" s="2" t="str">
        <f ca="1">IFERROR(__xludf.DUMMYFUNCTION("""COMPUTED_VALUE"""),"ja")</f>
        <v>ja</v>
      </c>
      <c r="Z24" s="2" t="str">
        <f ca="1">IFERROR(__xludf.DUMMYFUNCTION("""COMPUTED_VALUE"""),"han er klar")</f>
        <v>han er klar</v>
      </c>
      <c r="AA24" s="25"/>
      <c r="AB24" s="2" t="str">
        <f ca="1">IFERROR(__xludf.DUMMYFUNCTION("""COMPUTED_VALUE"""),"x")</f>
        <v>x</v>
      </c>
      <c r="AC24" s="2" t="str">
        <f ca="1">IFERROR(__xludf.DUMMYFUNCTION("""COMPUTED_VALUE"""),"x")</f>
        <v>x</v>
      </c>
    </row>
    <row r="25" spans="1:29" ht="12.45">
      <c r="A25" s="2" t="str">
        <f ca="1">IFERROR(__xludf.DUMMYFUNCTION("""COMPUTED_VALUE"""),"Christian")</f>
        <v>Christian</v>
      </c>
      <c r="B25" s="2" t="str">
        <f ca="1">IFERROR(__xludf.DUMMYFUNCTION("""COMPUTED_VALUE"""),"Estate Christina Ellegaard - Hornslet")</f>
        <v>Estate Christina Ellegaard - Hornslet</v>
      </c>
      <c r="C25" s="2"/>
      <c r="D25" s="2"/>
      <c r="E25" s="2" t="str">
        <f ca="1">IFERROR(__xludf.DUMMYFUNCTION("""COMPUTED_VALUE"""),"N/A")</f>
        <v>N/A</v>
      </c>
      <c r="F25" s="2"/>
      <c r="G25" s="2"/>
      <c r="H25" s="2"/>
      <c r="I25" s="2" t="str">
        <f ca="1">IFERROR(__xludf.DUMMYFUNCTION("""COMPUTED_VALUE"""),"Nyvej 4B")</f>
        <v>Nyvej 4B</v>
      </c>
      <c r="J25" s="2">
        <f ca="1">IFERROR(__xludf.DUMMYFUNCTION("""COMPUTED_VALUE"""),8543)</f>
        <v>8543</v>
      </c>
      <c r="K25" s="2" t="str">
        <f ca="1">IFERROR(__xludf.DUMMYFUNCTION("""COMPUTED_VALUE"""),"Hornslet")</f>
        <v>Hornslet</v>
      </c>
      <c r="L25" s="2" t="str">
        <f ca="1">IFERROR(__xludf.DUMMYFUNCTION("""COMPUTED_VALUE"""),"Syddjurs")</f>
        <v>Syddjurs</v>
      </c>
      <c r="M25" s="2" t="str">
        <f ca="1">IFERROR(__xludf.DUMMYFUNCTION("""COMPUTED_VALUE"""),"Østjylland")</f>
        <v>Østjylland</v>
      </c>
      <c r="N25" s="2" t="str">
        <f ca="1">IFERROR(__xludf.DUMMYFUNCTION("""COMPUTED_VALUE"""),"Midtjylland")</f>
        <v>Midtjylland</v>
      </c>
      <c r="O25" s="2">
        <f ca="1">IFERROR(__xludf.DUMMYFUNCTION("""COMPUTED_VALUE"""),86996900)</f>
        <v>86996900</v>
      </c>
      <c r="P25" s="2" t="str">
        <f ca="1">IFERROR(__xludf.DUMMYFUNCTION("""COMPUTED_VALUE"""),"8543@estate.dk")</f>
        <v>8543@estate.dk</v>
      </c>
      <c r="Q25" s="27" t="str">
        <f ca="1">IFERROR(__xludf.DUMMYFUNCTION("""COMPUTED_VALUE"""),"https://www.boliga.dk/maegler/25114")</f>
        <v>https://www.boliga.dk/maegler/25114</v>
      </c>
      <c r="R25" s="2" t="str">
        <f ca="1">IFERROR(__xludf.DUMMYFUNCTION("""COMPUTED_VALUE"""),"-")</f>
        <v>-</v>
      </c>
      <c r="S25" s="2" t="str">
        <f ca="1">IFERROR(__xludf.DUMMYFUNCTION("""COMPUTED_VALUE"""),"-")</f>
        <v>-</v>
      </c>
      <c r="T25" s="2" t="str">
        <f ca="1">IFERROR(__xludf.DUMMYFUNCTION("""COMPUTED_VALUE"""),"-")</f>
        <v>-</v>
      </c>
      <c r="U25" s="2">
        <f ca="1">IFERROR(__xludf.DUMMYFUNCTION("""COMPUTED_VALUE"""),6)</f>
        <v>6</v>
      </c>
      <c r="V25" s="2" t="str">
        <f ca="1">IFERROR(__xludf.DUMMYFUNCTION("""COMPUTED_VALUE"""),"8543, 8544")</f>
        <v>8543, 8544</v>
      </c>
      <c r="W25" s="2">
        <f ca="1">IFERROR(__xludf.DUMMYFUNCTION("""COMPUTED_VALUE"""),5)</f>
        <v>5</v>
      </c>
      <c r="X25" s="2" t="str">
        <f ca="1">IFERROR(__xludf.DUMMYFUNCTION("""COMPUTED_VALUE"""),"8543, 8544, 8560")</f>
        <v>8543, 8544, 8560</v>
      </c>
      <c r="Y25" s="2" t="str">
        <f ca="1">IFERROR(__xludf.DUMMYFUNCTION("""COMPUTED_VALUE"""),"ja")</f>
        <v>ja</v>
      </c>
      <c r="Z25" s="2" t="str">
        <f ca="1">IFERROR(__xludf.DUMMYFUNCTION("""COMPUTED_VALUE"""),"så længe det kun koster med kontrakt er hun åben - gensendt mail 29/6")</f>
        <v>så længe det kun koster med kontrakt er hun åben - gensendt mail 29/6</v>
      </c>
      <c r="AA25" s="25"/>
      <c r="AB25" s="2" t="str">
        <f ca="1">IFERROR(__xludf.DUMMYFUNCTION("""COMPUTED_VALUE"""),"x")</f>
        <v>x</v>
      </c>
      <c r="AC25" s="2"/>
    </row>
    <row r="26" spans="1:29" ht="12.45">
      <c r="A26" s="2" t="str">
        <f ca="1">IFERROR(__xludf.DUMMYFUNCTION("""COMPUTED_VALUE"""),"Christian")</f>
        <v>Christian</v>
      </c>
      <c r="B26" s="2" t="str">
        <f ca="1">IFERROR(__xludf.DUMMYFUNCTION("""COMPUTED_VALUE"""),"Estate Horsens - Michael Jessen")</f>
        <v>Estate Horsens - Michael Jessen</v>
      </c>
      <c r="C26" s="2">
        <f ca="1">IFERROR(__xludf.DUMMYFUNCTION("""COMPUTED_VALUE"""),38513559)</f>
        <v>38513559</v>
      </c>
      <c r="D26" s="2" t="str">
        <f ca="1">IFERROR(__xludf.DUMMYFUNCTION("""COMPUTED_VALUE"""),"MG-JY: 2.499,-")</f>
        <v>MG-JY: 2.499,-</v>
      </c>
      <c r="E26" s="2">
        <f ca="1">IFERROR(__xludf.DUMMYFUNCTION("""COMPUTED_VALUE"""),1201)</f>
        <v>1201</v>
      </c>
      <c r="F26" s="2" t="str">
        <f ca="1">IFERROR(__xludf.DUMMYFUNCTION("""COMPUTED_VALUE"""),"Michael Jessen")</f>
        <v>Michael Jessen</v>
      </c>
      <c r="G26" s="2" t="str">
        <f ca="1">IFERROR(__xludf.DUMMYFUNCTION("""COMPUTED_VALUE"""),"mji@estate.dk")</f>
        <v>mji@estate.dk</v>
      </c>
      <c r="H26" s="2"/>
      <c r="I26" s="2" t="str">
        <f ca="1">IFERROR(__xludf.DUMMYFUNCTION("""COMPUTED_VALUE"""),"Strandkærvej 20B")</f>
        <v>Strandkærvej 20B</v>
      </c>
      <c r="J26" s="2">
        <f ca="1">IFERROR(__xludf.DUMMYFUNCTION("""COMPUTED_VALUE"""),8700)</f>
        <v>8700</v>
      </c>
      <c r="K26" s="2" t="str">
        <f ca="1">IFERROR(__xludf.DUMMYFUNCTION("""COMPUTED_VALUE"""),"Horsens")</f>
        <v>Horsens</v>
      </c>
      <c r="L26" s="2" t="str">
        <f ca="1">IFERROR(__xludf.DUMMYFUNCTION("""COMPUTED_VALUE"""),"Horsens")</f>
        <v>Horsens</v>
      </c>
      <c r="M26" s="2" t="str">
        <f ca="1">IFERROR(__xludf.DUMMYFUNCTION("""COMPUTED_VALUE"""),"Østjylland")</f>
        <v>Østjylland</v>
      </c>
      <c r="N26" s="2" t="str">
        <f ca="1">IFERROR(__xludf.DUMMYFUNCTION("""COMPUTED_VALUE"""),"Midtjylland")</f>
        <v>Midtjylland</v>
      </c>
      <c r="O26" s="2">
        <f ca="1">IFERROR(__xludf.DUMMYFUNCTION("""COMPUTED_VALUE"""),75602828)</f>
        <v>75602828</v>
      </c>
      <c r="P26" s="2" t="str">
        <f ca="1">IFERROR(__xludf.DUMMYFUNCTION("""COMPUTED_VALUE"""),"8701@estate.dk")</f>
        <v>8701@estate.dk</v>
      </c>
      <c r="Q26" s="27" t="str">
        <f ca="1">IFERROR(__xludf.DUMMYFUNCTION("""COMPUTED_VALUE"""),"https://www.boliga.dk/maegler/23843")</f>
        <v>https://www.boliga.dk/maegler/23843</v>
      </c>
      <c r="R26" s="2" t="str">
        <f ca="1">IFERROR(__xludf.DUMMYFUNCTION("""COMPUTED_VALUE"""),"-")</f>
        <v>-</v>
      </c>
      <c r="S26" s="2" t="str">
        <f ca="1">IFERROR(__xludf.DUMMYFUNCTION("""COMPUTED_VALUE"""),"-")</f>
        <v>-</v>
      </c>
      <c r="T26" s="2" t="str">
        <f ca="1">IFERROR(__xludf.DUMMYFUNCTION("""COMPUTED_VALUE"""),"-")</f>
        <v>-</v>
      </c>
      <c r="U26" s="2">
        <f ca="1">IFERROR(__xludf.DUMMYFUNCTION("""COMPUTED_VALUE"""),33)</f>
        <v>33</v>
      </c>
      <c r="V26" s="2" t="str">
        <f ca="1">IFERROR(__xludf.DUMMYFUNCTION("""COMPUTED_VALUE"""),"8783, 7000, 7150, 8762, 7130, 8700")</f>
        <v>8783, 7000, 7150, 8762, 7130, 8700</v>
      </c>
      <c r="W26" s="2">
        <f ca="1">IFERROR(__xludf.DUMMYFUNCTION("""COMPUTED_VALUE"""),25)</f>
        <v>25</v>
      </c>
      <c r="X26" s="2" t="str">
        <f ca="1">IFERROR(__xludf.DUMMYFUNCTION("""COMPUTED_VALUE"""),"8751, 8700, 7130, 8723, 7140")</f>
        <v>8751, 8700, 7130, 8723, 7140</v>
      </c>
      <c r="Y26" s="2" t="str">
        <f ca="1">IFERROR(__xludf.DUMMYFUNCTION("""COMPUTED_VALUE"""),"ja")</f>
        <v>ja</v>
      </c>
      <c r="Z26" s="2" t="str">
        <f ca="1">IFERROR(__xludf.DUMMYFUNCTION("""COMPUTED_VALUE"""),"han er int.")</f>
        <v>han er int.</v>
      </c>
      <c r="AA26" s="25"/>
      <c r="AB26" s="2" t="str">
        <f ca="1">IFERROR(__xludf.DUMMYFUNCTION("""COMPUTED_VALUE"""),"x")</f>
        <v>x</v>
      </c>
      <c r="AC26" s="2" t="str">
        <f ca="1">IFERROR(__xludf.DUMMYFUNCTION("""COMPUTED_VALUE"""),"x")</f>
        <v>x</v>
      </c>
    </row>
    <row r="27" spans="1:29" ht="12.45">
      <c r="A27" s="2" t="str">
        <f ca="1">IFERROR(__xludf.DUMMYFUNCTION("""COMPUTED_VALUE"""),"Christian")</f>
        <v>Christian</v>
      </c>
      <c r="B27" s="2" t="str">
        <f ca="1">IFERROR(__xludf.DUMMYFUNCTION("""COMPUTED_VALUE"""),"Estate Michael Cederholm - Horsens")</f>
        <v>Estate Michael Cederholm - Horsens</v>
      </c>
      <c r="C27" s="2"/>
      <c r="D27" s="2"/>
      <c r="E27" s="2" t="str">
        <f ca="1">IFERROR(__xludf.DUMMYFUNCTION("""COMPUTED_VALUE"""),"N/A")</f>
        <v>N/A</v>
      </c>
      <c r="F27" s="2"/>
      <c r="G27" s="2"/>
      <c r="H27" s="2"/>
      <c r="I27" s="2" t="str">
        <f ca="1">IFERROR(__xludf.DUMMYFUNCTION("""COMPUTED_VALUE"""),"Søndergade 12, 1.")</f>
        <v>Søndergade 12, 1.</v>
      </c>
      <c r="J27" s="2">
        <f ca="1">IFERROR(__xludf.DUMMYFUNCTION("""COMPUTED_VALUE"""),8700)</f>
        <v>8700</v>
      </c>
      <c r="K27" s="2" t="str">
        <f ca="1">IFERROR(__xludf.DUMMYFUNCTION("""COMPUTED_VALUE"""),"Horsens")</f>
        <v>Horsens</v>
      </c>
      <c r="L27" s="2" t="str">
        <f ca="1">IFERROR(__xludf.DUMMYFUNCTION("""COMPUTED_VALUE"""),"Horsens")</f>
        <v>Horsens</v>
      </c>
      <c r="M27" s="2" t="str">
        <f ca="1">IFERROR(__xludf.DUMMYFUNCTION("""COMPUTED_VALUE"""),"Østjylland")</f>
        <v>Østjylland</v>
      </c>
      <c r="N27" s="2" t="str">
        <f ca="1">IFERROR(__xludf.DUMMYFUNCTION("""COMPUTED_VALUE"""),"Midtjylland")</f>
        <v>Midtjylland</v>
      </c>
      <c r="O27" s="2">
        <f ca="1">IFERROR(__xludf.DUMMYFUNCTION("""COMPUTED_VALUE"""),22750216)</f>
        <v>22750216</v>
      </c>
      <c r="P27" s="2" t="str">
        <f ca="1">IFERROR(__xludf.DUMMYFUNCTION("""COMPUTED_VALUE"""),"8700@estate.dk")</f>
        <v>8700@estate.dk</v>
      </c>
      <c r="Q27" s="27" t="str">
        <f ca="1">IFERROR(__xludf.DUMMYFUNCTION("""COMPUTED_VALUE"""),"https://www.boliga.dk/maegler/25112")</f>
        <v>https://www.boliga.dk/maegler/25112</v>
      </c>
      <c r="R27" s="2" t="str">
        <f ca="1">IFERROR(__xludf.DUMMYFUNCTION("""COMPUTED_VALUE"""),"-")</f>
        <v>-</v>
      </c>
      <c r="S27" s="2" t="str">
        <f ca="1">IFERROR(__xludf.DUMMYFUNCTION("""COMPUTED_VALUE"""),"-")</f>
        <v>-</v>
      </c>
      <c r="T27" s="2" t="str">
        <f ca="1">IFERROR(__xludf.DUMMYFUNCTION("""COMPUTED_VALUE"""),"-")</f>
        <v>-</v>
      </c>
      <c r="U27" s="2">
        <f ca="1">IFERROR(__xludf.DUMMYFUNCTION("""COMPUTED_VALUE"""),6)</f>
        <v>6</v>
      </c>
      <c r="V27" s="2" t="str">
        <f ca="1">IFERROR(__xludf.DUMMYFUNCTION("""COMPUTED_VALUE"""),"7160, 8700, 8751")</f>
        <v>7160, 8700, 8751</v>
      </c>
      <c r="W27" s="2">
        <f ca="1">IFERROR(__xludf.DUMMYFUNCTION("""COMPUTED_VALUE"""),9)</f>
        <v>9</v>
      </c>
      <c r="X27" s="2" t="str">
        <f ca="1">IFERROR(__xludf.DUMMYFUNCTION("""COMPUTED_VALUE"""),"7100, 8700")</f>
        <v>7100, 8700</v>
      </c>
      <c r="Y27" s="2" t="str">
        <f ca="1">IFERROR(__xludf.DUMMYFUNCTION("""COMPUTED_VALUE"""),"ja")</f>
        <v>ja</v>
      </c>
      <c r="Z27" s="2" t="str">
        <f ca="1">IFERROR(__xludf.DUMMYFUNCTION("""COMPUTED_VALUE"""),"han er klar på at prøve det af")</f>
        <v>han er klar på at prøve det af</v>
      </c>
      <c r="AA27" s="29"/>
      <c r="AB27" s="2" t="str">
        <f ca="1">IFERROR(__xludf.DUMMYFUNCTION("""COMPUTED_VALUE"""),"x")</f>
        <v>x</v>
      </c>
      <c r="AC27" s="2"/>
    </row>
    <row r="28" spans="1:29" ht="12.45">
      <c r="A28" s="2" t="str">
        <f ca="1">IFERROR(__xludf.DUMMYFUNCTION("""COMPUTED_VALUE"""),"Christian")</f>
        <v>Christian</v>
      </c>
      <c r="B28" s="2" t="str">
        <f ca="1">IFERROR(__xludf.DUMMYFUNCTION("""COMPUTED_VALUE"""),"Estate Haderslev - Peter R. Nissen")</f>
        <v>Estate Haderslev - Peter R. Nissen</v>
      </c>
      <c r="C28" s="2"/>
      <c r="D28" s="2"/>
      <c r="E28" s="2" t="str">
        <f ca="1">IFERROR(__xludf.DUMMYFUNCTION("""COMPUTED_VALUE"""),"N/A")</f>
        <v>N/A</v>
      </c>
      <c r="F28" s="2"/>
      <c r="G28" s="2"/>
      <c r="H28" s="2"/>
      <c r="I28" s="2" t="str">
        <f ca="1">IFERROR(__xludf.DUMMYFUNCTION("""COMPUTED_VALUE"""),"Østergade 44")</f>
        <v>Østergade 44</v>
      </c>
      <c r="J28" s="2">
        <f ca="1">IFERROR(__xludf.DUMMYFUNCTION("""COMPUTED_VALUE"""),6100)</f>
        <v>6100</v>
      </c>
      <c r="K28" s="2" t="str">
        <f ca="1">IFERROR(__xludf.DUMMYFUNCTION("""COMPUTED_VALUE"""),"Haderslev")</f>
        <v>Haderslev</v>
      </c>
      <c r="L28" s="2" t="str">
        <f ca="1">IFERROR(__xludf.DUMMYFUNCTION("""COMPUTED_VALUE"""),"Haderslev")</f>
        <v>Haderslev</v>
      </c>
      <c r="M28" s="2" t="str">
        <f ca="1">IFERROR(__xludf.DUMMYFUNCTION("""COMPUTED_VALUE"""),"Sydjylland")</f>
        <v>Sydjylland</v>
      </c>
      <c r="N28" s="2" t="str">
        <f ca="1">IFERROR(__xludf.DUMMYFUNCTION("""COMPUTED_VALUE"""),"Syddanmark")</f>
        <v>Syddanmark</v>
      </c>
      <c r="O28" s="2">
        <f ca="1">IFERROR(__xludf.DUMMYFUNCTION("""COMPUTED_VALUE"""),72170000)</f>
        <v>72170000</v>
      </c>
      <c r="P28" s="2" t="str">
        <f ca="1">IFERROR(__xludf.DUMMYFUNCTION("""COMPUTED_VALUE"""),"6100@estate.dk")</f>
        <v>6100@estate.dk</v>
      </c>
      <c r="Q28" s="27" t="str">
        <f ca="1">IFERROR(__xludf.DUMMYFUNCTION("""COMPUTED_VALUE"""),"https://www.boliga.dk/maegler/25065")</f>
        <v>https://www.boliga.dk/maegler/25065</v>
      </c>
      <c r="R28" s="2" t="str">
        <f ca="1">IFERROR(__xludf.DUMMYFUNCTION("""COMPUTED_VALUE"""),"-")</f>
        <v>-</v>
      </c>
      <c r="S28" s="2" t="str">
        <f ca="1">IFERROR(__xludf.DUMMYFUNCTION("""COMPUTED_VALUE"""),"-")</f>
        <v>-</v>
      </c>
      <c r="T28" s="2" t="str">
        <f ca="1">IFERROR(__xludf.DUMMYFUNCTION("""COMPUTED_VALUE"""),"-")</f>
        <v>-</v>
      </c>
      <c r="U28" s="2">
        <f ca="1">IFERROR(__xludf.DUMMYFUNCTION("""COMPUTED_VALUE"""),59)</f>
        <v>59</v>
      </c>
      <c r="V28" s="2" t="str">
        <f ca="1">IFERROR(__xludf.DUMMYFUNCTION("""COMPUTED_VALUE"""),"6100, 6500")</f>
        <v>6100, 6500</v>
      </c>
      <c r="W28" s="2">
        <f ca="1">IFERROR(__xludf.DUMMYFUNCTION("""COMPUTED_VALUE"""),16)</f>
        <v>16</v>
      </c>
      <c r="X28" s="2" t="str">
        <f ca="1">IFERROR(__xludf.DUMMYFUNCTION("""COMPUTED_VALUE"""),"6100, 6094")</f>
        <v>6100, 6094</v>
      </c>
      <c r="Y28" s="2" t="str">
        <f ca="1">IFERROR(__xludf.DUMMYFUNCTION("""COMPUTED_VALUE"""),"ja")</f>
        <v>ja</v>
      </c>
      <c r="Z28" s="2" t="str">
        <f ca="1">IFERROR(__xludf.DUMMYFUNCTION("""COMPUTED_VALUE"""),"Peter er int i at prøve det af, han er bekymret for kvaliteten men kan godt lide setuppet - gensendt mail 10/8")</f>
        <v>Peter er int i at prøve det af, han er bekymret for kvaliteten men kan godt lide setuppet - gensendt mail 10/8</v>
      </c>
      <c r="AA28" s="25"/>
      <c r="AB28" s="2" t="str">
        <f ca="1">IFERROR(__xludf.DUMMYFUNCTION("""COMPUTED_VALUE"""),"x")</f>
        <v>x</v>
      </c>
      <c r="AC28" s="2"/>
    </row>
    <row r="29" spans="1:29" ht="12.45">
      <c r="A29" s="2" t="str">
        <f ca="1">IFERROR(__xludf.DUMMYFUNCTION("""COMPUTED_VALUE"""),"Christian")</f>
        <v>Christian</v>
      </c>
      <c r="B29" s="2" t="str">
        <f ca="1">IFERROR(__xludf.DUMMYFUNCTION("""COMPUTED_VALUE"""),"Estate Mathias Nicolajsen")</f>
        <v>Estate Mathias Nicolajsen</v>
      </c>
      <c r="C29" s="2"/>
      <c r="D29" s="2"/>
      <c r="E29" s="2" t="str">
        <f ca="1">IFERROR(__xludf.DUMMYFUNCTION("""COMPUTED_VALUE"""),"N/A")</f>
        <v>N/A</v>
      </c>
      <c r="F29" s="2"/>
      <c r="G29" s="2"/>
      <c r="H29" s="2"/>
      <c r="I29" s="2" t="str">
        <f ca="1">IFERROR(__xludf.DUMMYFUNCTION("""COMPUTED_VALUE"""),"Hovedgaden 33, st.")</f>
        <v>Hovedgaden 33, st.</v>
      </c>
      <c r="J29" s="2">
        <f ca="1">IFERROR(__xludf.DUMMYFUNCTION("""COMPUTED_VALUE"""),4270)</f>
        <v>4270</v>
      </c>
      <c r="K29" s="2" t="str">
        <f ca="1">IFERROR(__xludf.DUMMYFUNCTION("""COMPUTED_VALUE"""),"Høng")</f>
        <v>Høng</v>
      </c>
      <c r="L29" s="2" t="str">
        <f ca="1">IFERROR(__xludf.DUMMYFUNCTION("""COMPUTED_VALUE"""),"Kalundborg")</f>
        <v>Kalundborg</v>
      </c>
      <c r="M29" s="2" t="str">
        <f ca="1">IFERROR(__xludf.DUMMYFUNCTION("""COMPUTED_VALUE"""),"Vest- og Sydsjælland")</f>
        <v>Vest- og Sydsjælland</v>
      </c>
      <c r="N29" s="2" t="str">
        <f ca="1">IFERROR(__xludf.DUMMYFUNCTION("""COMPUTED_VALUE"""),"Sjælland")</f>
        <v>Sjælland</v>
      </c>
      <c r="O29" s="2">
        <f ca="1">IFERROR(__xludf.DUMMYFUNCTION("""COMPUTED_VALUE"""),40414171)</f>
        <v>40414171</v>
      </c>
      <c r="P29" s="2" t="str">
        <f ca="1">IFERROR(__xludf.DUMMYFUNCTION("""COMPUTED_VALUE"""),"4270@estate.dk")</f>
        <v>4270@estate.dk</v>
      </c>
      <c r="Q29" s="27" t="str">
        <f ca="1">IFERROR(__xludf.DUMMYFUNCTION("""COMPUTED_VALUE"""),"https://www.boliga.dk/maegler/27106")</f>
        <v>https://www.boliga.dk/maegler/27106</v>
      </c>
      <c r="R29" s="2" t="str">
        <f ca="1">IFERROR(__xludf.DUMMYFUNCTION("""COMPUTED_VALUE"""),"-")</f>
        <v>-</v>
      </c>
      <c r="S29" s="2" t="str">
        <f ca="1">IFERROR(__xludf.DUMMYFUNCTION("""COMPUTED_VALUE"""),"-")</f>
        <v>-</v>
      </c>
      <c r="T29" s="2" t="str">
        <f ca="1">IFERROR(__xludf.DUMMYFUNCTION("""COMPUTED_VALUE"""),"-")</f>
        <v>-</v>
      </c>
      <c r="U29" s="2">
        <f ca="1">IFERROR(__xludf.DUMMYFUNCTION("""COMPUTED_VALUE"""),69)</f>
        <v>69</v>
      </c>
      <c r="V29" s="2" t="str">
        <f ca="1">IFERROR(__xludf.DUMMYFUNCTION("""COMPUTED_VALUE"""),"4281, 4270, 4200, 4450")</f>
        <v>4281, 4270, 4200, 4450</v>
      </c>
      <c r="W29" s="2">
        <f ca="1">IFERROR(__xludf.DUMMYFUNCTION("""COMPUTED_VALUE"""),19)</f>
        <v>19</v>
      </c>
      <c r="X29" s="2" t="str">
        <f ca="1">IFERROR(__xludf.DUMMYFUNCTION("""COMPUTED_VALUE"""),"4281, 4291, 4200, 4270, 4450")</f>
        <v>4281, 4291, 4200, 4270, 4450</v>
      </c>
      <c r="Y29" s="2" t="str">
        <f ca="1">IFERROR(__xludf.DUMMYFUNCTION("""COMPUTED_VALUE"""),"ja")</f>
        <v>ja</v>
      </c>
      <c r="Z29" s="2" t="str">
        <f ca="1">IFERROR(__xludf.DUMMYFUNCTION("""COMPUTED_VALUE"""),"han skal lige se det igennem men var positiv")</f>
        <v>han skal lige se det igennem men var positiv</v>
      </c>
      <c r="AA29" s="25"/>
      <c r="AB29" s="2" t="str">
        <f ca="1">IFERROR(__xludf.DUMMYFUNCTION("""COMPUTED_VALUE"""),"x")</f>
        <v>x</v>
      </c>
      <c r="AC29" s="2"/>
    </row>
    <row r="30" spans="1:29" ht="12.45">
      <c r="A30" s="2" t="str">
        <f ca="1">IFERROR(__xludf.DUMMYFUNCTION("""COMPUTED_VALUE"""),"Christian")</f>
        <v>Christian</v>
      </c>
      <c r="B30" s="2" t="str">
        <f ca="1">IFERROR(__xludf.DUMMYFUNCTION("""COMPUTED_VALUE"""),"Estate Nykøbing Falster")</f>
        <v>Estate Nykøbing Falster</v>
      </c>
      <c r="C30" s="2"/>
      <c r="D30" s="2"/>
      <c r="E30" s="2" t="str">
        <f ca="1">IFERROR(__xludf.DUMMYFUNCTION("""COMPUTED_VALUE"""),"N/A")</f>
        <v>N/A</v>
      </c>
      <c r="F30" s="2"/>
      <c r="G30" s="2"/>
      <c r="H30" s="2"/>
      <c r="I30" s="2" t="str">
        <f ca="1">IFERROR(__xludf.DUMMYFUNCTION("""COMPUTED_VALUE"""),"Langgade 5, st.")</f>
        <v>Langgade 5, st.</v>
      </c>
      <c r="J30" s="2">
        <f ca="1">IFERROR(__xludf.DUMMYFUNCTION("""COMPUTED_VALUE"""),4800)</f>
        <v>4800</v>
      </c>
      <c r="K30" s="2" t="str">
        <f ca="1">IFERROR(__xludf.DUMMYFUNCTION("""COMPUTED_VALUE"""),"Nykøbing F.")</f>
        <v>Nykøbing F.</v>
      </c>
      <c r="L30" s="2" t="str">
        <f ca="1">IFERROR(__xludf.DUMMYFUNCTION("""COMPUTED_VALUE"""),"Guldborgsund")</f>
        <v>Guldborgsund</v>
      </c>
      <c r="M30" s="2" t="str">
        <f ca="1">IFERROR(__xludf.DUMMYFUNCTION("""COMPUTED_VALUE"""),"Vest- og Sydsjælland")</f>
        <v>Vest- og Sydsjælland</v>
      </c>
      <c r="N30" s="2" t="str">
        <f ca="1">IFERROR(__xludf.DUMMYFUNCTION("""COMPUTED_VALUE"""),"Sjælland")</f>
        <v>Sjælland</v>
      </c>
      <c r="O30" s="2">
        <f ca="1">IFERROR(__xludf.DUMMYFUNCTION("""COMPUTED_VALUE"""),54860046)</f>
        <v>54860046</v>
      </c>
      <c r="P30" s="2" t="str">
        <f ca="1">IFERROR(__xludf.DUMMYFUNCTION("""COMPUTED_VALUE"""),"4800@estate.dk")</f>
        <v>4800@estate.dk</v>
      </c>
      <c r="Q30" s="27" t="str">
        <f ca="1">IFERROR(__xludf.DUMMYFUNCTION("""COMPUTED_VALUE"""),"https://www.boliga.dk/maegler/27067")</f>
        <v>https://www.boliga.dk/maegler/27067</v>
      </c>
      <c r="R30" s="2" t="str">
        <f ca="1">IFERROR(__xludf.DUMMYFUNCTION("""COMPUTED_VALUE"""),"-")</f>
        <v>-</v>
      </c>
      <c r="S30" s="2" t="str">
        <f ca="1">IFERROR(__xludf.DUMMYFUNCTION("""COMPUTED_VALUE"""),"-")</f>
        <v>-</v>
      </c>
      <c r="T30" s="2" t="str">
        <f ca="1">IFERROR(__xludf.DUMMYFUNCTION("""COMPUTED_VALUE"""),"-")</f>
        <v>-</v>
      </c>
      <c r="U30" s="2">
        <f ca="1">IFERROR(__xludf.DUMMYFUNCTION("""COMPUTED_VALUE"""),30)</f>
        <v>30</v>
      </c>
      <c r="V30" s="2" t="str">
        <f ca="1">IFERROR(__xludf.DUMMYFUNCTION("""COMPUTED_VALUE"""),"4840, 4760, 4873, 4850, 4800, 4942, 4862, 4892, 4872, 4880, 4894")</f>
        <v>4840, 4760, 4873, 4850, 4800, 4942, 4862, 4892, 4872, 4880, 4894</v>
      </c>
      <c r="W30" s="2">
        <f ca="1">IFERROR(__xludf.DUMMYFUNCTION("""COMPUTED_VALUE"""),17)</f>
        <v>17</v>
      </c>
      <c r="X30" s="2" t="str">
        <f ca="1">IFERROR(__xludf.DUMMYFUNCTION("""COMPUTED_VALUE"""),"4872, 4873, 4800, 4892")</f>
        <v>4872, 4873, 4800, 4892</v>
      </c>
      <c r="Y30" s="2" t="str">
        <f ca="1">IFERROR(__xludf.DUMMYFUNCTION("""COMPUTED_VALUE"""),"ja")</f>
        <v>ja</v>
      </c>
      <c r="Z30" s="2" t="str">
        <f ca="1">IFERROR(__xludf.DUMMYFUNCTION("""COMPUTED_VALUE"""),"skal holde møde - han ender også som PM :) ")</f>
        <v xml:space="preserve">skal holde møde - han ender også som PM :) </v>
      </c>
      <c r="AA30" s="25"/>
      <c r="AB30" s="2" t="str">
        <f ca="1">IFERROR(__xludf.DUMMYFUNCTION("""COMPUTED_VALUE"""),"x")</f>
        <v>x</v>
      </c>
      <c r="AC30" s="2"/>
    </row>
    <row r="31" spans="1:29" ht="12.45">
      <c r="A31" s="2" t="str">
        <f ca="1">IFERROR(__xludf.DUMMYFUNCTION("""COMPUTED_VALUE"""),"Christian")</f>
        <v>Christian</v>
      </c>
      <c r="B31" s="2" t="str">
        <f ca="1">IFERROR(__xludf.DUMMYFUNCTION("""COMPUTED_VALUE"""),"Estate Boligbørsen - Holstebro")</f>
        <v>Estate Boligbørsen - Holstebro</v>
      </c>
      <c r="C31" s="2"/>
      <c r="D31" s="2"/>
      <c r="E31" s="2" t="str">
        <f ca="1">IFERROR(__xludf.DUMMYFUNCTION("""COMPUTED_VALUE"""),"N/A")</f>
        <v>N/A</v>
      </c>
      <c r="F31" s="2"/>
      <c r="G31" s="2"/>
      <c r="H31" s="2"/>
      <c r="I31" s="2" t="str">
        <f ca="1">IFERROR(__xludf.DUMMYFUNCTION("""COMPUTED_VALUE"""),"Grønsgade 12")</f>
        <v>Grønsgade 12</v>
      </c>
      <c r="J31" s="2">
        <f ca="1">IFERROR(__xludf.DUMMYFUNCTION("""COMPUTED_VALUE"""),7500)</f>
        <v>7500</v>
      </c>
      <c r="K31" s="2" t="str">
        <f ca="1">IFERROR(__xludf.DUMMYFUNCTION("""COMPUTED_VALUE"""),"Holstebro")</f>
        <v>Holstebro</v>
      </c>
      <c r="L31" s="2" t="str">
        <f ca="1">IFERROR(__xludf.DUMMYFUNCTION("""COMPUTED_VALUE"""),"Holstebro")</f>
        <v>Holstebro</v>
      </c>
      <c r="M31" s="2" t="str">
        <f ca="1">IFERROR(__xludf.DUMMYFUNCTION("""COMPUTED_VALUE"""),"Vestjylland")</f>
        <v>Vestjylland</v>
      </c>
      <c r="N31" s="2" t="str">
        <f ca="1">IFERROR(__xludf.DUMMYFUNCTION("""COMPUTED_VALUE"""),"Midtjylland")</f>
        <v>Midtjylland</v>
      </c>
      <c r="O31" s="2">
        <f ca="1">IFERROR(__xludf.DUMMYFUNCTION("""COMPUTED_VALUE"""),97406699)</f>
        <v>97406699</v>
      </c>
      <c r="P31" s="30" t="str">
        <f ca="1">IFERROR(__xludf.DUMMYFUNCTION("""COMPUTED_VALUE"""),"7500@estate.dk")</f>
        <v>7500@estate.dk</v>
      </c>
      <c r="Q31" s="27" t="str">
        <f ca="1">IFERROR(__xludf.DUMMYFUNCTION("""COMPUTED_VALUE"""),"https://www.boliga.dk/maegler/25117")</f>
        <v>https://www.boliga.dk/maegler/25117</v>
      </c>
      <c r="R31" s="2" t="str">
        <f ca="1">IFERROR(__xludf.DUMMYFUNCTION("""COMPUTED_VALUE"""),"-")</f>
        <v>-</v>
      </c>
      <c r="S31" s="2" t="str">
        <f ca="1">IFERROR(__xludf.DUMMYFUNCTION("""COMPUTED_VALUE"""),"-")</f>
        <v>-</v>
      </c>
      <c r="T31" s="2" t="str">
        <f ca="1">IFERROR(__xludf.DUMMYFUNCTION("""COMPUTED_VALUE"""),"-")</f>
        <v>-</v>
      </c>
      <c r="U31" s="2">
        <f ca="1">IFERROR(__xludf.DUMMYFUNCTION("""COMPUTED_VALUE"""),84)</f>
        <v>84</v>
      </c>
      <c r="V31" s="2" t="str">
        <f ca="1">IFERROR(__xludf.DUMMYFUNCTION("""COMPUTED_VALUE"""),"7600, 7560, 7490, 7500, 7540, 7570")</f>
        <v>7600, 7560, 7490, 7500, 7540, 7570</v>
      </c>
      <c r="W31" s="2">
        <f ca="1">IFERROR(__xludf.DUMMYFUNCTION("""COMPUTED_VALUE"""),48)</f>
        <v>48</v>
      </c>
      <c r="X31" s="2" t="str">
        <f ca="1">IFERROR(__xludf.DUMMYFUNCTION("""COMPUTED_VALUE"""),"7560, 7570, 7500")</f>
        <v>7560, 7570, 7500</v>
      </c>
      <c r="Y31" s="2" t="str">
        <f ca="1">IFERROR(__xludf.DUMMYFUNCTION("""COMPUTED_VALUE"""),"ja")</f>
        <v>ja</v>
      </c>
      <c r="Z31" s="2"/>
      <c r="AA31" s="2"/>
      <c r="AB31" s="2" t="str">
        <f ca="1">IFERROR(__xludf.DUMMYFUNCTION("""COMPUTED_VALUE"""),"x")</f>
        <v>x</v>
      </c>
      <c r="AC31" s="25"/>
    </row>
    <row r="32" spans="1:29" ht="12.45">
      <c r="A32" s="2" t="str">
        <f ca="1">IFERROR(__xludf.DUMMYFUNCTION("""COMPUTED_VALUE"""),"Christian")</f>
        <v>Christian</v>
      </c>
      <c r="B32" s="2" t="str">
        <f ca="1">IFERROR(__xludf.DUMMYFUNCTION("""COMPUTED_VALUE"""),"Robinhus Nathalie Middelboe")</f>
        <v>Robinhus Nathalie Middelboe</v>
      </c>
      <c r="C32" s="2">
        <f ca="1">IFERROR(__xludf.DUMMYFUNCTION("""COMPUTED_VALUE"""),34861692)</f>
        <v>34861692</v>
      </c>
      <c r="D32" s="2" t="str">
        <f ca="1">IFERROR(__xludf.DUMMYFUNCTION("""COMPUTED_VALUE"""),"MG-SJ: 3.499,-")</f>
        <v>MG-SJ: 3.499,-</v>
      </c>
      <c r="E32" s="2">
        <f ca="1">IFERROR(__xludf.DUMMYFUNCTION("""COMPUTED_VALUE"""),1202)</f>
        <v>1202</v>
      </c>
      <c r="F32" s="2" t="str">
        <f ca="1">IFERROR(__xludf.DUMMYFUNCTION("""COMPUTED_VALUE"""),"Nathalie Middelboe")</f>
        <v>Nathalie Middelboe</v>
      </c>
      <c r="G32" s="2" t="str">
        <f ca="1">IFERROR(__xludf.DUMMYFUNCTION("""COMPUTED_VALUE"""),"nmi@robinhus.dk")</f>
        <v>nmi@robinhus.dk</v>
      </c>
      <c r="H32" s="2" t="str">
        <f ca="1">IFERROR(__xludf.DUMMYFUNCTION("""COMPUTED_VALUE"""),"-")</f>
        <v>-</v>
      </c>
      <c r="I32" s="2" t="str">
        <f ca="1">IFERROR(__xludf.DUMMYFUNCTION("""COMPUTED_VALUE"""),"-")</f>
        <v>-</v>
      </c>
      <c r="J32" s="2" t="str">
        <f ca="1">IFERROR(__xludf.DUMMYFUNCTION("""COMPUTED_VALUE"""),"-")</f>
        <v>-</v>
      </c>
      <c r="K32" s="2" t="str">
        <f ca="1">IFERROR(__xludf.DUMMYFUNCTION("""COMPUTED_VALUE"""),"-")</f>
        <v>-</v>
      </c>
      <c r="L32" s="2" t="str">
        <f ca="1">IFERROR(__xludf.DUMMYFUNCTION("""COMPUTED_VALUE"""),"-")</f>
        <v>-</v>
      </c>
      <c r="M32" s="2"/>
      <c r="N32" s="2"/>
      <c r="O32" s="2">
        <f ca="1">IFERROR(__xludf.DUMMYFUNCTION("""COMPUTED_VALUE"""),51196777)</f>
        <v>51196777</v>
      </c>
      <c r="P32" s="2" t="str">
        <f ca="1">IFERROR(__xludf.DUMMYFUNCTION("""COMPUTED_VALUE"""),"nmi@robinhus.dk")</f>
        <v>nmi@robinhus.dk</v>
      </c>
      <c r="Q32" s="27" t="str">
        <f ca="1">IFERROR(__xludf.DUMMYFUNCTION("""COMPUTED_VALUE"""),"https://www.boliga.dk/maegler/27539")</f>
        <v>https://www.boliga.dk/maegler/27539</v>
      </c>
      <c r="R32" s="2" t="str">
        <f ca="1">IFERROR(__xludf.DUMMYFUNCTION("""COMPUTED_VALUE"""),"-")</f>
        <v>-</v>
      </c>
      <c r="S32" s="2"/>
      <c r="T32" s="2"/>
      <c r="U32" s="2">
        <f ca="1">IFERROR(__xludf.DUMMYFUNCTION("""COMPUTED_VALUE"""),7)</f>
        <v>7</v>
      </c>
      <c r="V32" s="2" t="str">
        <f ca="1">IFERROR(__xludf.DUMMYFUNCTION("""COMPUTED_VALUE"""),"2665, 2670, 2610, 2620, 2660")</f>
        <v>2665, 2670, 2610, 2620, 2660</v>
      </c>
      <c r="W32" s="2">
        <f ca="1">IFERROR(__xludf.DUMMYFUNCTION("""COMPUTED_VALUE"""),18)</f>
        <v>18</v>
      </c>
      <c r="X32" s="2" t="str">
        <f ca="1">IFERROR(__xludf.DUMMYFUNCTION("""COMPUTED_VALUE"""),"2665, 2630, 2640, 2635, 2750, 2670, 2690, 2610, 3630, 4600, 2680, 2791")</f>
        <v>2665, 2630, 2640, 2635, 2750, 2670, 2690, 2610, 3630, 4600, 2680, 2791</v>
      </c>
      <c r="Y32" s="2" t="str">
        <f ca="1">IFERROR(__xludf.DUMMYFUNCTION("""COMPUTED_VALUE"""),"ja")</f>
        <v>ja</v>
      </c>
      <c r="Z32" s="2"/>
      <c r="AA32" s="25"/>
      <c r="AB32" s="2" t="str">
        <f ca="1">IFERROR(__xludf.DUMMYFUNCTION("""COMPUTED_VALUE"""),"x")</f>
        <v>x</v>
      </c>
      <c r="AC32" s="2" t="str">
        <f ca="1">IFERROR(__xludf.DUMMYFUNCTION("""COMPUTED_VALUE"""),"x")</f>
        <v>x</v>
      </c>
    </row>
    <row r="33" spans="1:29" ht="12.45">
      <c r="A33" s="2" t="str">
        <f ca="1">IFERROR(__xludf.DUMMYFUNCTION("""COMPUTED_VALUE"""),"Christian")</f>
        <v>Christian</v>
      </c>
      <c r="B33" s="2" t="str">
        <f ca="1">IFERROR(__xludf.DUMMYFUNCTION("""COMPUTED_VALUE"""),"Estate Randers")</f>
        <v>Estate Randers</v>
      </c>
      <c r="C33" s="2">
        <f ca="1">IFERROR(__xludf.DUMMYFUNCTION("""COMPUTED_VALUE"""),40719687)</f>
        <v>40719687</v>
      </c>
      <c r="D33" s="2" t="str">
        <f ca="1">IFERROR(__xludf.DUMMYFUNCTION("""COMPUTED_VALUE"""),"MG-PM-JY: 1.949,-")</f>
        <v>MG-PM-JY: 1.949,-</v>
      </c>
      <c r="E33" s="2">
        <f ca="1">IFERROR(__xludf.DUMMYFUNCTION("""COMPUTED_VALUE"""),1203)</f>
        <v>1203</v>
      </c>
      <c r="F33" s="2" t="str">
        <f ca="1">IFERROR(__xludf.DUMMYFUNCTION("""COMPUTED_VALUE"""),"Rasmus Moeskær")</f>
        <v>Rasmus Moeskær</v>
      </c>
      <c r="G33" s="2" t="str">
        <f ca="1">IFERROR(__xludf.DUMMYFUNCTION("""COMPUTED_VALUE"""),"rm@estate.dk")</f>
        <v>rm@estate.dk</v>
      </c>
      <c r="H33" s="2"/>
      <c r="I33" s="2" t="str">
        <f ca="1">IFERROR(__xludf.DUMMYFUNCTION("""COMPUTED_VALUE"""),"Tronholmen 5")</f>
        <v>Tronholmen 5</v>
      </c>
      <c r="J33" s="2">
        <f ca="1">IFERROR(__xludf.DUMMYFUNCTION("""COMPUTED_VALUE"""),8960)</f>
        <v>8960</v>
      </c>
      <c r="K33" s="2" t="str">
        <f ca="1">IFERROR(__xludf.DUMMYFUNCTION("""COMPUTED_VALUE"""),"Randers SØ")</f>
        <v>Randers SØ</v>
      </c>
      <c r="L33" s="2" t="str">
        <f ca="1">IFERROR(__xludf.DUMMYFUNCTION("""COMPUTED_VALUE"""),"Randers")</f>
        <v>Randers</v>
      </c>
      <c r="M33" s="2" t="str">
        <f ca="1">IFERROR(__xludf.DUMMYFUNCTION("""COMPUTED_VALUE"""),"Østjylland")</f>
        <v>Østjylland</v>
      </c>
      <c r="N33" s="2" t="str">
        <f ca="1">IFERROR(__xludf.DUMMYFUNCTION("""COMPUTED_VALUE"""),"Midtjylland")</f>
        <v>Midtjylland</v>
      </c>
      <c r="O33" s="2">
        <f ca="1">IFERROR(__xludf.DUMMYFUNCTION("""COMPUTED_VALUE"""),86408960)</f>
        <v>86408960</v>
      </c>
      <c r="P33" s="2" t="str">
        <f ca="1">IFERROR(__xludf.DUMMYFUNCTION("""COMPUTED_VALUE"""),"8960@estate.dk")</f>
        <v>8960@estate.dk</v>
      </c>
      <c r="Q33" s="27" t="str">
        <f ca="1">IFERROR(__xludf.DUMMYFUNCTION("""COMPUTED_VALUE"""),"https://www.boliga.dk/maegler/26646")</f>
        <v>https://www.boliga.dk/maegler/26646</v>
      </c>
      <c r="R33" s="2" t="str">
        <f ca="1">IFERROR(__xludf.DUMMYFUNCTION("""COMPUTED_VALUE"""),"-")</f>
        <v>-</v>
      </c>
      <c r="S33" s="2" t="str">
        <f ca="1">IFERROR(__xludf.DUMMYFUNCTION("""COMPUTED_VALUE"""),"-")</f>
        <v>-</v>
      </c>
      <c r="T33" s="2" t="str">
        <f ca="1">IFERROR(__xludf.DUMMYFUNCTION("""COMPUTED_VALUE"""),"-")</f>
        <v>-</v>
      </c>
      <c r="U33" s="2">
        <f ca="1">IFERROR(__xludf.DUMMYFUNCTION("""COMPUTED_VALUE"""),55)</f>
        <v>55</v>
      </c>
      <c r="V33" s="2" t="str">
        <f ca="1">IFERROR(__xludf.DUMMYFUNCTION("""COMPUTED_VALUE"""),"8930, 8900, 8920, 8960, 8870, 8981, 8990, 8940")</f>
        <v>8930, 8900, 8920, 8960, 8870, 8981, 8990, 8940</v>
      </c>
      <c r="W33" s="2">
        <f ca="1">IFERROR(__xludf.DUMMYFUNCTION("""COMPUTED_VALUE"""),36)</f>
        <v>36</v>
      </c>
      <c r="X33" s="2" t="str">
        <f ca="1">IFERROR(__xludf.DUMMYFUNCTION("""COMPUTED_VALUE"""),"8900, 8920, 8960, 8940, 8983, 8970, 8981, 8930, 8961")</f>
        <v>8900, 8920, 8960, 8940, 8983, 8970, 8981, 8930, 8961</v>
      </c>
      <c r="Y33" s="2" t="str">
        <f ca="1">IFERROR(__xludf.DUMMYFUNCTION("""COMPUTED_VALUE"""),"ja")</f>
        <v>ja</v>
      </c>
      <c r="Z33" s="2" t="str">
        <f ca="1">IFERROR(__xludf.DUMMYFUNCTION("""COMPUTED_VALUE"""),"rasmus er klar")</f>
        <v>rasmus er klar</v>
      </c>
      <c r="AA33" s="2"/>
      <c r="AB33" s="2" t="str">
        <f ca="1">IFERROR(__xludf.DUMMYFUNCTION("""COMPUTED_VALUE"""),"x")</f>
        <v>x</v>
      </c>
      <c r="AC33" s="2" t="str">
        <f ca="1">IFERROR(__xludf.DUMMYFUNCTION("""COMPUTED_VALUE"""),"x")</f>
        <v>x</v>
      </c>
    </row>
    <row r="34" spans="1:29" ht="12.45">
      <c r="A34" s="2" t="str">
        <f ca="1">IFERROR(__xludf.DUMMYFUNCTION("""COMPUTED_VALUE"""),"Christian")</f>
        <v>Christian</v>
      </c>
      <c r="B34" s="2" t="str">
        <f ca="1">IFERROR(__xludf.DUMMYFUNCTION("""COMPUTED_VALUE"""),"Estate Robin Thybo - Bramming")</f>
        <v>Estate Robin Thybo - Bramming</v>
      </c>
      <c r="C34" s="2">
        <f ca="1">IFERROR(__xludf.DUMMYFUNCTION("""COMPUTED_VALUE"""),37376329)</f>
        <v>37376329</v>
      </c>
      <c r="D34" s="2" t="str">
        <f ca="1">IFERROR(__xludf.DUMMYFUNCTION("""COMPUTED_VALUE"""),"MG-JY: 2.499,-")</f>
        <v>MG-JY: 2.499,-</v>
      </c>
      <c r="E34" s="2">
        <f ca="1">IFERROR(__xludf.DUMMYFUNCTION("""COMPUTED_VALUE"""),1201)</f>
        <v>1201</v>
      </c>
      <c r="F34" s="2" t="str">
        <f ca="1">IFERROR(__xludf.DUMMYFUNCTION("""COMPUTED_VALUE"""),"Robin Thybo")</f>
        <v>Robin Thybo</v>
      </c>
      <c r="G34" s="2" t="str">
        <f ca="1">IFERROR(__xludf.DUMMYFUNCTION("""COMPUTED_VALUE"""),"rth@estate.dk")</f>
        <v>rth@estate.dk</v>
      </c>
      <c r="H34" s="2"/>
      <c r="I34" s="2" t="str">
        <f ca="1">IFERROR(__xludf.DUMMYFUNCTION("""COMPUTED_VALUE"""),"Sct. Knuds Alle 14")</f>
        <v>Sct. Knuds Alle 14</v>
      </c>
      <c r="J34" s="2">
        <f ca="1">IFERROR(__xludf.DUMMYFUNCTION("""COMPUTED_VALUE"""),6740)</f>
        <v>6740</v>
      </c>
      <c r="K34" s="2" t="str">
        <f ca="1">IFERROR(__xludf.DUMMYFUNCTION("""COMPUTED_VALUE"""),"Bramming")</f>
        <v>Bramming</v>
      </c>
      <c r="L34" s="2" t="str">
        <f ca="1">IFERROR(__xludf.DUMMYFUNCTION("""COMPUTED_VALUE"""),"Esbjerg")</f>
        <v>Esbjerg</v>
      </c>
      <c r="M34" s="2" t="str">
        <f ca="1">IFERROR(__xludf.DUMMYFUNCTION("""COMPUTED_VALUE"""),"Sydjylland")</f>
        <v>Sydjylland</v>
      </c>
      <c r="N34" s="2" t="str">
        <f ca="1">IFERROR(__xludf.DUMMYFUNCTION("""COMPUTED_VALUE"""),"Syddanmark")</f>
        <v>Syddanmark</v>
      </c>
      <c r="O34" s="2">
        <f ca="1">IFERROR(__xludf.DUMMYFUNCTION("""COMPUTED_VALUE"""),75101755)</f>
        <v>75101755</v>
      </c>
      <c r="P34" s="2" t="str">
        <f ca="1">IFERROR(__xludf.DUMMYFUNCTION("""COMPUTED_VALUE"""),"6740@estate.dk")</f>
        <v>6740@estate.dk</v>
      </c>
      <c r="Q34" s="27" t="str">
        <f ca="1">IFERROR(__xludf.DUMMYFUNCTION("""COMPUTED_VALUE"""),"https://www.boliga.dk/maegler/25100")</f>
        <v>https://www.boliga.dk/maegler/25100</v>
      </c>
      <c r="R34" s="2" t="str">
        <f ca="1">IFERROR(__xludf.DUMMYFUNCTION("""COMPUTED_VALUE"""),"-")</f>
        <v>-</v>
      </c>
      <c r="S34" s="2" t="str">
        <f ca="1">IFERROR(__xludf.DUMMYFUNCTION("""COMPUTED_VALUE"""),"-")</f>
        <v>-</v>
      </c>
      <c r="T34" s="2" t="str">
        <f ca="1">IFERROR(__xludf.DUMMYFUNCTION("""COMPUTED_VALUE"""),"-")</f>
        <v>-</v>
      </c>
      <c r="U34" s="2">
        <f ca="1">IFERROR(__xludf.DUMMYFUNCTION("""COMPUTED_VALUE"""),22)</f>
        <v>22</v>
      </c>
      <c r="V34" s="2" t="str">
        <f ca="1">IFERROR(__xludf.DUMMYFUNCTION("""COMPUTED_VALUE"""),"6740, 6650, 6690, 6630")</f>
        <v>6740, 6650, 6690, 6630</v>
      </c>
      <c r="W34" s="2">
        <f ca="1">IFERROR(__xludf.DUMMYFUNCTION("""COMPUTED_VALUE"""),4)</f>
        <v>4</v>
      </c>
      <c r="X34" s="2" t="str">
        <f ca="1">IFERROR(__xludf.DUMMYFUNCTION("""COMPUTED_VALUE"""),"6705, 6731, 6740, 6700, 6800, 6818, 6840, 6710, 7200")</f>
        <v>6705, 6731, 6740, 6700, 6800, 6818, 6840, 6710, 7200</v>
      </c>
      <c r="Y34" s="2" t="str">
        <f ca="1">IFERROR(__xludf.DUMMYFUNCTION("""COMPUTED_VALUE"""),"ja")</f>
        <v>ja</v>
      </c>
      <c r="Z34" s="2" t="str">
        <f ca="1">IFERROR(__xludf.DUMMYFUNCTION("""COMPUTED_VALUE"""),"han var int")</f>
        <v>han var int</v>
      </c>
      <c r="AA34" s="25"/>
      <c r="AB34" s="2" t="str">
        <f ca="1">IFERROR(__xludf.DUMMYFUNCTION("""COMPUTED_VALUE"""),"x")</f>
        <v>x</v>
      </c>
      <c r="AC34" s="2" t="str">
        <f ca="1">IFERROR(__xludf.DUMMYFUNCTION("""COMPUTED_VALUE"""),"x")</f>
        <v>x</v>
      </c>
    </row>
    <row r="35" spans="1:29" ht="12.45">
      <c r="A35" s="2" t="str">
        <f ca="1">IFERROR(__xludf.DUMMYFUNCTION("""COMPUTED_VALUE"""),"Christian")</f>
        <v>Christian</v>
      </c>
      <c r="B35" s="2" t="str">
        <f ca="1">IFERROR(__xludf.DUMMYFUNCTION("""COMPUTED_VALUE"""),"Estate Robin Thybo - Esbjerg")</f>
        <v>Estate Robin Thybo - Esbjerg</v>
      </c>
      <c r="C35" s="2">
        <f ca="1">IFERROR(__xludf.DUMMYFUNCTION("""COMPUTED_VALUE"""),37376329)</f>
        <v>37376329</v>
      </c>
      <c r="D35" s="2" t="str">
        <f ca="1">IFERROR(__xludf.DUMMYFUNCTION("""COMPUTED_VALUE"""),"MG-JY: 2.499,-")</f>
        <v>MG-JY: 2.499,-</v>
      </c>
      <c r="E35" s="2">
        <f ca="1">IFERROR(__xludf.DUMMYFUNCTION("""COMPUTED_VALUE"""),1201)</f>
        <v>1201</v>
      </c>
      <c r="F35" s="2" t="str">
        <f ca="1">IFERROR(__xludf.DUMMYFUNCTION("""COMPUTED_VALUE"""),"Robin Thybo")</f>
        <v>Robin Thybo</v>
      </c>
      <c r="G35" s="2" t="str">
        <f ca="1">IFERROR(__xludf.DUMMYFUNCTION("""COMPUTED_VALUE"""),"rth@estate.dk")</f>
        <v>rth@estate.dk</v>
      </c>
      <c r="H35" s="2"/>
      <c r="I35" s="2" t="str">
        <f ca="1">IFERROR(__xludf.DUMMYFUNCTION("""COMPUTED_VALUE"""),"Nørregade 24")</f>
        <v>Nørregade 24</v>
      </c>
      <c r="J35" s="2">
        <f ca="1">IFERROR(__xludf.DUMMYFUNCTION("""COMPUTED_VALUE"""),6700)</f>
        <v>6700</v>
      </c>
      <c r="K35" s="2" t="str">
        <f ca="1">IFERROR(__xludf.DUMMYFUNCTION("""COMPUTED_VALUE"""),"Esbjerg")</f>
        <v>Esbjerg</v>
      </c>
      <c r="L35" s="2" t="str">
        <f ca="1">IFERROR(__xludf.DUMMYFUNCTION("""COMPUTED_VALUE"""),"Esbjerg")</f>
        <v>Esbjerg</v>
      </c>
      <c r="M35" s="2" t="str">
        <f ca="1">IFERROR(__xludf.DUMMYFUNCTION("""COMPUTED_VALUE"""),"Sydjylland")</f>
        <v>Sydjylland</v>
      </c>
      <c r="N35" s="2" t="str">
        <f ca="1">IFERROR(__xludf.DUMMYFUNCTION("""COMPUTED_VALUE"""),"Syddanmark")</f>
        <v>Syddanmark</v>
      </c>
      <c r="O35" s="2">
        <f ca="1">IFERROR(__xludf.DUMMYFUNCTION("""COMPUTED_VALUE"""),75181200)</f>
        <v>75181200</v>
      </c>
      <c r="P35" s="2" t="str">
        <f ca="1">IFERROR(__xludf.DUMMYFUNCTION("""COMPUTED_VALUE"""),"6700@estate.dk")</f>
        <v>6700@estate.dk</v>
      </c>
      <c r="Q35" s="27" t="str">
        <f ca="1">IFERROR(__xludf.DUMMYFUNCTION("""COMPUTED_VALUE"""),"https://www.boliga.dk/maegler/25124")</f>
        <v>https://www.boliga.dk/maegler/25124</v>
      </c>
      <c r="R35" s="2" t="str">
        <f ca="1">IFERROR(__xludf.DUMMYFUNCTION("""COMPUTED_VALUE"""),"-")</f>
        <v>-</v>
      </c>
      <c r="S35" s="2" t="str">
        <f ca="1">IFERROR(__xludf.DUMMYFUNCTION("""COMPUTED_VALUE"""),"-")</f>
        <v>-</v>
      </c>
      <c r="T35" s="2" t="str">
        <f ca="1">IFERROR(__xludf.DUMMYFUNCTION("""COMPUTED_VALUE"""),"-")</f>
        <v>-</v>
      </c>
      <c r="U35" s="2">
        <f ca="1">IFERROR(__xludf.DUMMYFUNCTION("""COMPUTED_VALUE"""),29)</f>
        <v>29</v>
      </c>
      <c r="V35" s="2" t="str">
        <f ca="1">IFERROR(__xludf.DUMMYFUNCTION("""COMPUTED_VALUE"""),"6800, 6700, 6705, 6760, 6715, 6830, 6710, 6870, 6731, 6880, 6740, 6771")</f>
        <v>6800, 6700, 6705, 6760, 6715, 6830, 6710, 6870, 6731, 6880, 6740, 6771</v>
      </c>
      <c r="W35" s="2">
        <f ca="1">IFERROR(__xludf.DUMMYFUNCTION("""COMPUTED_VALUE"""),21)</f>
        <v>21</v>
      </c>
      <c r="X35" s="2" t="str">
        <f ca="1">IFERROR(__xludf.DUMMYFUNCTION("""COMPUTED_VALUE"""),"6800, 6700, 6705, 6840, 6818, 6710, 6731, 7200")</f>
        <v>6800, 6700, 6705, 6840, 6818, 6710, 6731, 7200</v>
      </c>
      <c r="Y35" s="2" t="str">
        <f ca="1">IFERROR(__xludf.DUMMYFUNCTION("""COMPUTED_VALUE"""),"ja")</f>
        <v>ja</v>
      </c>
      <c r="Z35" s="2" t="str">
        <f ca="1">IFERROR(__xludf.DUMMYFUNCTION("""COMPUTED_VALUE"""),"se Bramming")</f>
        <v>se Bramming</v>
      </c>
      <c r="AA35" s="25"/>
      <c r="AB35" s="2" t="str">
        <f ca="1">IFERROR(__xludf.DUMMYFUNCTION("""COMPUTED_VALUE"""),"x")</f>
        <v>x</v>
      </c>
      <c r="AC35" s="2" t="str">
        <f ca="1">IFERROR(__xludf.DUMMYFUNCTION("""COMPUTED_VALUE"""),"x")</f>
        <v>x</v>
      </c>
    </row>
    <row r="36" spans="1:29" ht="12.45">
      <c r="A36" s="2" t="str">
        <f ca="1">IFERROR(__xludf.DUMMYFUNCTION("""COMPUTED_VALUE"""),"Christian")</f>
        <v>Christian</v>
      </c>
      <c r="B36" s="2" t="str">
        <f ca="1">IFERROR(__xludf.DUMMYFUNCTION("""COMPUTED_VALUE"""),"Estate Rold og Koch A/S - Aalborg SV")</f>
        <v>Estate Rold og Koch A/S - Aalborg SV</v>
      </c>
      <c r="C36" s="2"/>
      <c r="D36" s="2"/>
      <c r="E36" s="2" t="str">
        <f ca="1">IFERROR(__xludf.DUMMYFUNCTION("""COMPUTED_VALUE"""),"N/A")</f>
        <v>N/A</v>
      </c>
      <c r="F36" s="2"/>
      <c r="G36" s="2"/>
      <c r="H36" s="2"/>
      <c r="I36" s="2" t="str">
        <f ca="1">IFERROR(__xludf.DUMMYFUNCTION("""COMPUTED_VALUE"""),"Nibevej 4")</f>
        <v>Nibevej 4</v>
      </c>
      <c r="J36" s="2">
        <f ca="1">IFERROR(__xludf.DUMMYFUNCTION("""COMPUTED_VALUE"""),9200)</f>
        <v>9200</v>
      </c>
      <c r="K36" s="2" t="str">
        <f ca="1">IFERROR(__xludf.DUMMYFUNCTION("""COMPUTED_VALUE"""),"Aalborg SV")</f>
        <v>Aalborg SV</v>
      </c>
      <c r="L36" s="2" t="str">
        <f ca="1">IFERROR(__xludf.DUMMYFUNCTION("""COMPUTED_VALUE"""),"Aalborg")</f>
        <v>Aalborg</v>
      </c>
      <c r="M36" s="2" t="str">
        <f ca="1">IFERROR(__xludf.DUMMYFUNCTION("""COMPUTED_VALUE"""),"Nordjylland")</f>
        <v>Nordjylland</v>
      </c>
      <c r="N36" s="2" t="str">
        <f ca="1">IFERROR(__xludf.DUMMYFUNCTION("""COMPUTED_VALUE"""),"Nordjylland")</f>
        <v>Nordjylland</v>
      </c>
      <c r="O36" s="2">
        <f ca="1">IFERROR(__xludf.DUMMYFUNCTION("""COMPUTED_VALUE"""),98181414)</f>
        <v>98181414</v>
      </c>
      <c r="P36" s="2" t="str">
        <f ca="1">IFERROR(__xludf.DUMMYFUNCTION("""COMPUTED_VALUE"""),"9200@estate.dk")</f>
        <v>9200@estate.dk</v>
      </c>
      <c r="Q36" s="27" t="str">
        <f ca="1">IFERROR(__xludf.DUMMYFUNCTION("""COMPUTED_VALUE"""),"https://www.boliga.dk/maegler/25109")</f>
        <v>https://www.boliga.dk/maegler/25109</v>
      </c>
      <c r="R36" s="2" t="str">
        <f ca="1">IFERROR(__xludf.DUMMYFUNCTION("""COMPUTED_VALUE"""),"-")</f>
        <v>-</v>
      </c>
      <c r="S36" s="2" t="str">
        <f ca="1">IFERROR(__xludf.DUMMYFUNCTION("""COMPUTED_VALUE"""),"-")</f>
        <v>-</v>
      </c>
      <c r="T36" s="2" t="str">
        <f ca="1">IFERROR(__xludf.DUMMYFUNCTION("""COMPUTED_VALUE"""),"-")</f>
        <v>-</v>
      </c>
      <c r="U36" s="2">
        <f ca="1">IFERROR(__xludf.DUMMYFUNCTION("""COMPUTED_VALUE"""),20)</f>
        <v>20</v>
      </c>
      <c r="V36" s="2" t="str">
        <f ca="1">IFERROR(__xludf.DUMMYFUNCTION("""COMPUTED_VALUE"""),"9541, 9230")</f>
        <v>9541, 9230</v>
      </c>
      <c r="W36" s="2">
        <f ca="1">IFERROR(__xludf.DUMMYFUNCTION("""COMPUTED_VALUE"""),21)</f>
        <v>21</v>
      </c>
      <c r="X36" s="2" t="str">
        <f ca="1">IFERROR(__xludf.DUMMYFUNCTION("""COMPUTED_VALUE"""),"9230, 9000")</f>
        <v>9230, 9000</v>
      </c>
      <c r="Y36" s="2" t="str">
        <f ca="1">IFERROR(__xludf.DUMMYFUNCTION("""COMPUTED_VALUE"""),"ja")</f>
        <v>ja</v>
      </c>
      <c r="Z36" s="2" t="str">
        <f ca="1">IFERROR(__xludf.DUMMYFUNCTION("""COMPUTED_VALUE"""),"se svenstrup")</f>
        <v>se svenstrup</v>
      </c>
      <c r="AA36" s="7"/>
      <c r="AB36" s="2" t="str">
        <f ca="1">IFERROR(__xludf.DUMMYFUNCTION("""COMPUTED_VALUE"""),"x")</f>
        <v>x</v>
      </c>
      <c r="AC36" s="2"/>
    </row>
    <row r="37" spans="1:29" ht="12.45">
      <c r="A37" s="2" t="str">
        <f ca="1">IFERROR(__xludf.DUMMYFUNCTION("""COMPUTED_VALUE"""),"Christian")</f>
        <v>Christian</v>
      </c>
      <c r="B37" s="2" t="str">
        <f ca="1">IFERROR(__xludf.DUMMYFUNCTION("""COMPUTED_VALUE"""),"Estate Roskilde")</f>
        <v>Estate Roskilde</v>
      </c>
      <c r="C37" s="2">
        <f ca="1">IFERROR(__xludf.DUMMYFUNCTION("""COMPUTED_VALUE"""),25656598)</f>
        <v>25656598</v>
      </c>
      <c r="D37" s="2" t="str">
        <f ca="1">IFERROR(__xludf.DUMMYFUNCTION("""COMPUTED_VALUE"""),"MG-SJ: 3.499,-")</f>
        <v>MG-SJ: 3.499,-</v>
      </c>
      <c r="E37" s="2">
        <f ca="1">IFERROR(__xludf.DUMMYFUNCTION("""COMPUTED_VALUE"""),1202)</f>
        <v>1202</v>
      </c>
      <c r="F37" s="2" t="str">
        <f ca="1">IFERROR(__xludf.DUMMYFUNCTION("""COMPUTED_VALUE"""),"Camilla Skøtt")</f>
        <v>Camilla Skøtt</v>
      </c>
      <c r="G37" s="2" t="str">
        <f ca="1">IFERROR(__xludf.DUMMYFUNCTION("""COMPUTED_VALUE"""),"kot@estate.dk")</f>
        <v>kot@estate.dk</v>
      </c>
      <c r="H37" s="2"/>
      <c r="I37" s="2" t="str">
        <f ca="1">IFERROR(__xludf.DUMMYFUNCTION("""COMPUTED_VALUE"""),"Ringstedgade 15B")</f>
        <v>Ringstedgade 15B</v>
      </c>
      <c r="J37" s="2">
        <f ca="1">IFERROR(__xludf.DUMMYFUNCTION("""COMPUTED_VALUE"""),4000)</f>
        <v>4000</v>
      </c>
      <c r="K37" s="2" t="str">
        <f ca="1">IFERROR(__xludf.DUMMYFUNCTION("""COMPUTED_VALUE"""),"Roskilde")</f>
        <v>Roskilde</v>
      </c>
      <c r="L37" s="2" t="str">
        <f ca="1">IFERROR(__xludf.DUMMYFUNCTION("""COMPUTED_VALUE"""),"Roskilde")</f>
        <v>Roskilde</v>
      </c>
      <c r="M37" s="2" t="str">
        <f ca="1">IFERROR(__xludf.DUMMYFUNCTION("""COMPUTED_VALUE"""),"Østsjælland")</f>
        <v>Østsjælland</v>
      </c>
      <c r="N37" s="2" t="str">
        <f ca="1">IFERROR(__xludf.DUMMYFUNCTION("""COMPUTED_VALUE"""),"Sjælland")</f>
        <v>Sjælland</v>
      </c>
      <c r="O37" s="2">
        <f ca="1">IFERROR(__xludf.DUMMYFUNCTION("""COMPUTED_VALUE"""),46404800)</f>
        <v>46404800</v>
      </c>
      <c r="P37" s="2" t="str">
        <f ca="1">IFERROR(__xludf.DUMMYFUNCTION("""COMPUTED_VALUE"""),"4000@estate.dk")</f>
        <v>4000@estate.dk</v>
      </c>
      <c r="Q37" s="27" t="str">
        <f ca="1">IFERROR(__xludf.DUMMYFUNCTION("""COMPUTED_VALUE"""),"https://www.boliga.dk/maegler/26949")</f>
        <v>https://www.boliga.dk/maegler/26949</v>
      </c>
      <c r="R37" s="2" t="str">
        <f ca="1">IFERROR(__xludf.DUMMYFUNCTION("""COMPUTED_VALUE"""),"-")</f>
        <v>-</v>
      </c>
      <c r="S37" s="2" t="str">
        <f ca="1">IFERROR(__xludf.DUMMYFUNCTION("""COMPUTED_VALUE"""),"-")</f>
        <v>-</v>
      </c>
      <c r="T37" s="2" t="str">
        <f ca="1">IFERROR(__xludf.DUMMYFUNCTION("""COMPUTED_VALUE"""),"-")</f>
        <v>-</v>
      </c>
      <c r="U37" s="2">
        <f ca="1">IFERROR(__xludf.DUMMYFUNCTION("""COMPUTED_VALUE"""),5)</f>
        <v>5</v>
      </c>
      <c r="V37" s="2" t="str">
        <f ca="1">IFERROR(__xludf.DUMMYFUNCTION("""COMPUTED_VALUE"""),"4130, 4000, 4070")</f>
        <v>4130, 4000, 4070</v>
      </c>
      <c r="W37" s="2">
        <f ca="1">IFERROR(__xludf.DUMMYFUNCTION("""COMPUTED_VALUE"""),9)</f>
        <v>9</v>
      </c>
      <c r="X37" s="2" t="str">
        <f ca="1">IFERROR(__xludf.DUMMYFUNCTION("""COMPUTED_VALUE"""),"4130, 4000, 4050")</f>
        <v>4130, 4000, 4050</v>
      </c>
      <c r="Y37" s="2" t="str">
        <f ca="1">IFERROR(__xludf.DUMMYFUNCTION("""COMPUTED_VALUE"""),"ja")</f>
        <v>ja</v>
      </c>
      <c r="Z37" s="2" t="str">
        <f ca="1">IFERROR(__xludf.DUMMYFUNCTION("""COMPUTED_VALUE"""),"se hornsherred")</f>
        <v>se hornsherred</v>
      </c>
      <c r="AA37" s="7"/>
      <c r="AB37" s="2" t="str">
        <f ca="1">IFERROR(__xludf.DUMMYFUNCTION("""COMPUTED_VALUE"""),"x")</f>
        <v>x</v>
      </c>
      <c r="AC37" s="2" t="str">
        <f ca="1">IFERROR(__xludf.DUMMYFUNCTION("""COMPUTED_VALUE"""),"x")</f>
        <v>x</v>
      </c>
    </row>
    <row r="38" spans="1:29" ht="12.45">
      <c r="A38" s="2" t="str">
        <f ca="1">IFERROR(__xludf.DUMMYFUNCTION("""COMPUTED_VALUE"""),"Christian")</f>
        <v>Christian</v>
      </c>
      <c r="B38" s="2" t="str">
        <f ca="1">IFERROR(__xludf.DUMMYFUNCTION("""COMPUTED_VALUE"""),"Estate Slagelse")</f>
        <v>Estate Slagelse</v>
      </c>
      <c r="C38" s="2"/>
      <c r="D38" s="2"/>
      <c r="E38" s="2" t="str">
        <f ca="1">IFERROR(__xludf.DUMMYFUNCTION("""COMPUTED_VALUE"""),"N/A")</f>
        <v>N/A</v>
      </c>
      <c r="F38" s="2"/>
      <c r="G38" s="2"/>
      <c r="H38" s="2"/>
      <c r="I38" s="2" t="str">
        <f ca="1">IFERROR(__xludf.DUMMYFUNCTION("""COMPUTED_VALUE"""),"Rosengade 7A st. th")</f>
        <v>Rosengade 7A st. th</v>
      </c>
      <c r="J38" s="2">
        <f ca="1">IFERROR(__xludf.DUMMYFUNCTION("""COMPUTED_VALUE"""),4200)</f>
        <v>4200</v>
      </c>
      <c r="K38" s="2" t="str">
        <f ca="1">IFERROR(__xludf.DUMMYFUNCTION("""COMPUTED_VALUE"""),"Slagelse")</f>
        <v>Slagelse</v>
      </c>
      <c r="L38" s="2" t="str">
        <f ca="1">IFERROR(__xludf.DUMMYFUNCTION("""COMPUTED_VALUE"""),"Slagelse")</f>
        <v>Slagelse</v>
      </c>
      <c r="M38" s="2" t="str">
        <f ca="1">IFERROR(__xludf.DUMMYFUNCTION("""COMPUTED_VALUE"""),"Vest- og Sydsjælland")</f>
        <v>Vest- og Sydsjælland</v>
      </c>
      <c r="N38" s="2" t="str">
        <f ca="1">IFERROR(__xludf.DUMMYFUNCTION("""COMPUTED_VALUE"""),"Sjælland")</f>
        <v>Sjælland</v>
      </c>
      <c r="O38" s="2">
        <f ca="1">IFERROR(__xludf.DUMMYFUNCTION("""COMPUTED_VALUE"""),58504200)</f>
        <v>58504200</v>
      </c>
      <c r="P38" s="2" t="str">
        <f ca="1">IFERROR(__xludf.DUMMYFUNCTION("""COMPUTED_VALUE"""),"4200@estate.dk")</f>
        <v>4200@estate.dk</v>
      </c>
      <c r="Q38" s="27" t="str">
        <f ca="1">IFERROR(__xludf.DUMMYFUNCTION("""COMPUTED_VALUE"""),"https://www.boliga.dk/maegler/28450")</f>
        <v>https://www.boliga.dk/maegler/28450</v>
      </c>
      <c r="R38" s="2" t="str">
        <f ca="1">IFERROR(__xludf.DUMMYFUNCTION("""COMPUTED_VALUE"""),"-")</f>
        <v>-</v>
      </c>
      <c r="S38" s="2" t="str">
        <f ca="1">IFERROR(__xludf.DUMMYFUNCTION("""COMPUTED_VALUE"""),"-")</f>
        <v>-</v>
      </c>
      <c r="T38" s="2" t="str">
        <f ca="1">IFERROR(__xludf.DUMMYFUNCTION("""COMPUTED_VALUE"""),"-")</f>
        <v>-</v>
      </c>
      <c r="U38" s="2">
        <f ca="1">IFERROR(__xludf.DUMMYFUNCTION("""COMPUTED_VALUE"""),15)</f>
        <v>15</v>
      </c>
      <c r="V38" s="2" t="str">
        <f ca="1">IFERROR(__xludf.DUMMYFUNCTION("""COMPUTED_VALUE"""),"4250, 4200, 4261, 4281")</f>
        <v>4250, 4200, 4261, 4281</v>
      </c>
      <c r="W38" s="2">
        <f ca="1">IFERROR(__xludf.DUMMYFUNCTION("""COMPUTED_VALUE"""),25)</f>
        <v>25</v>
      </c>
      <c r="X38" s="2" t="str">
        <f ca="1">IFERROR(__xludf.DUMMYFUNCTION("""COMPUTED_VALUE"""),"4200, 4220")</f>
        <v>4200, 4220</v>
      </c>
      <c r="Y38" s="2" t="str">
        <f ca="1">IFERROR(__xludf.DUMMYFUNCTION("""COMPUTED_VALUE"""),"ja")</f>
        <v>ja</v>
      </c>
      <c r="Z38" s="2" t="str">
        <f ca="1">IFERROR(__xludf.DUMMYFUNCTION("""COMPUTED_VALUE"""),"han er med - rykket for svar 11/8")</f>
        <v>han er med - rykket for svar 11/8</v>
      </c>
      <c r="AA38" s="25"/>
      <c r="AB38" s="2" t="str">
        <f ca="1">IFERROR(__xludf.DUMMYFUNCTION("""COMPUTED_VALUE"""),"x")</f>
        <v>x</v>
      </c>
      <c r="AC38" s="2"/>
    </row>
    <row r="39" spans="1:29" ht="12.45">
      <c r="A39" s="2" t="str">
        <f ca="1">IFERROR(__xludf.DUMMYFUNCTION("""COMPUTED_VALUE"""),"Christian")</f>
        <v>Christian</v>
      </c>
      <c r="B39" s="2" t="str">
        <f ca="1">IFERROR(__xludf.DUMMYFUNCTION("""COMPUTED_VALUE"""),"Estate Sydhavnen")</f>
        <v>Estate Sydhavnen</v>
      </c>
      <c r="C39" s="2"/>
      <c r="D39" s="2"/>
      <c r="E39" s="2" t="str">
        <f ca="1">IFERROR(__xludf.DUMMYFUNCTION("""COMPUTED_VALUE"""),"N/A")</f>
        <v>N/A</v>
      </c>
      <c r="F39" s="2"/>
      <c r="G39" s="2"/>
      <c r="H39" s="2"/>
      <c r="I39" s="2" t="str">
        <f ca="1">IFERROR(__xludf.DUMMYFUNCTION("""COMPUTED_VALUE"""),"Borgbjergsvej 2")</f>
        <v>Borgbjergsvej 2</v>
      </c>
      <c r="J39" s="2">
        <f ca="1">IFERROR(__xludf.DUMMYFUNCTION("""COMPUTED_VALUE"""),2450)</f>
        <v>2450</v>
      </c>
      <c r="K39" s="2" t="str">
        <f ca="1">IFERROR(__xludf.DUMMYFUNCTION("""COMPUTED_VALUE"""),"København SV")</f>
        <v>København SV</v>
      </c>
      <c r="L39" s="2" t="str">
        <f ca="1">IFERROR(__xludf.DUMMYFUNCTION("""COMPUTED_VALUE"""),"København")</f>
        <v>København</v>
      </c>
      <c r="M39" s="2" t="str">
        <f ca="1">IFERROR(__xludf.DUMMYFUNCTION("""COMPUTED_VALUE"""),"København By")</f>
        <v>København By</v>
      </c>
      <c r="N39" s="2" t="str">
        <f ca="1">IFERROR(__xludf.DUMMYFUNCTION("""COMPUTED_VALUE"""),"Hovedstaden")</f>
        <v>Hovedstaden</v>
      </c>
      <c r="O39" s="2">
        <f ca="1">IFERROR(__xludf.DUMMYFUNCTION("""COMPUTED_VALUE"""),33312450)</f>
        <v>33312450</v>
      </c>
      <c r="P39" s="2" t="str">
        <f ca="1">IFERROR(__xludf.DUMMYFUNCTION("""COMPUTED_VALUE"""),"2450@estate.dk")</f>
        <v>2450@estate.dk</v>
      </c>
      <c r="Q39" s="27" t="str">
        <f ca="1">IFERROR(__xludf.DUMMYFUNCTION("""COMPUTED_VALUE"""),"https://www.boliga.dk/maegler/25167")</f>
        <v>https://www.boliga.dk/maegler/25167</v>
      </c>
      <c r="R39" s="2" t="str">
        <f ca="1">IFERROR(__xludf.DUMMYFUNCTION("""COMPUTED_VALUE"""),"-")</f>
        <v>-</v>
      </c>
      <c r="S39" s="2" t="str">
        <f ca="1">IFERROR(__xludf.DUMMYFUNCTION("""COMPUTED_VALUE"""),"-")</f>
        <v>-</v>
      </c>
      <c r="T39" s="2" t="str">
        <f ca="1">IFERROR(__xludf.DUMMYFUNCTION("""COMPUTED_VALUE"""),"-")</f>
        <v>-</v>
      </c>
      <c r="U39" s="2">
        <f ca="1">IFERROR(__xludf.DUMMYFUNCTION("""COMPUTED_VALUE"""),7)</f>
        <v>7</v>
      </c>
      <c r="V39" s="2">
        <f ca="1">IFERROR(__xludf.DUMMYFUNCTION("""COMPUTED_VALUE"""),2450)</f>
        <v>2450</v>
      </c>
      <c r="W39" s="2">
        <f ca="1">IFERROR(__xludf.DUMMYFUNCTION("""COMPUTED_VALUE"""),30)</f>
        <v>30</v>
      </c>
      <c r="X39" s="2" t="str">
        <f ca="1">IFERROR(__xludf.DUMMYFUNCTION("""COMPUTED_VALUE"""),"2450, 2870")</f>
        <v>2450, 2870</v>
      </c>
      <c r="Y39" s="2" t="str">
        <f ca="1">IFERROR(__xludf.DUMMYFUNCTION("""COMPUTED_VALUE"""),"ja")</f>
        <v>ja</v>
      </c>
      <c r="Z39" s="2" t="str">
        <f ca="1">IFERROR(__xludf.DUMMYFUNCTION("""COMPUTED_VALUE"""),"hun er int. havde allerede hørt om det gennem serdat tåstrup - tlf svarer sagde ferie men hun rigede tilbage gensendt mail og hun vil vende tilbage")</f>
        <v>hun er int. havde allerede hørt om det gennem serdat tåstrup - tlf svarer sagde ferie men hun rigede tilbage gensendt mail og hun vil vende tilbage</v>
      </c>
      <c r="AA39" s="25"/>
      <c r="AB39" s="2" t="str">
        <f ca="1">IFERROR(__xludf.DUMMYFUNCTION("""COMPUTED_VALUE"""),"x")</f>
        <v>x</v>
      </c>
      <c r="AC39" s="2"/>
    </row>
    <row r="40" spans="1:29" ht="12.45">
      <c r="A40" s="2" t="str">
        <f ca="1">IFERROR(__xludf.DUMMYFUNCTION("""COMPUTED_VALUE"""),"Christian")</f>
        <v>Christian</v>
      </c>
      <c r="B40" s="2" t="str">
        <f ca="1">IFERROR(__xludf.DUMMYFUNCTION("""COMPUTED_VALUE"""),"Estate Taastrup A/S")</f>
        <v>Estate Taastrup A/S</v>
      </c>
      <c r="C40" s="2">
        <f ca="1">IFERROR(__xludf.DUMMYFUNCTION("""COMPUTED_VALUE"""),35657304)</f>
        <v>35657304</v>
      </c>
      <c r="D40" s="2" t="str">
        <f ca="1">IFERROR(__xludf.DUMMYFUNCTION("""COMPUTED_VALUE"""),"MG-SJ: 3.499,-")</f>
        <v>MG-SJ: 3.499,-</v>
      </c>
      <c r="E40" s="2">
        <f ca="1">IFERROR(__xludf.DUMMYFUNCTION("""COMPUTED_VALUE"""),1202)</f>
        <v>1202</v>
      </c>
      <c r="F40" s="2" t="str">
        <f ca="1">IFERROR(__xludf.DUMMYFUNCTION("""COMPUTED_VALUE"""),"Serdar Demir")</f>
        <v>Serdar Demir</v>
      </c>
      <c r="G40" s="2" t="str">
        <f ca="1">IFERROR(__xludf.DUMMYFUNCTION("""COMPUTED_VALUE"""),"sed@estate.dk")</f>
        <v>sed@estate.dk</v>
      </c>
      <c r="H40" s="2"/>
      <c r="I40" s="2" t="str">
        <f ca="1">IFERROR(__xludf.DUMMYFUNCTION("""COMPUTED_VALUE"""),"Taastrup Hovedgade 121")</f>
        <v>Taastrup Hovedgade 121</v>
      </c>
      <c r="J40" s="2">
        <f ca="1">IFERROR(__xludf.DUMMYFUNCTION("""COMPUTED_VALUE"""),2630)</f>
        <v>2630</v>
      </c>
      <c r="K40" s="2" t="str">
        <f ca="1">IFERROR(__xludf.DUMMYFUNCTION("""COMPUTED_VALUE"""),"Taastrup")</f>
        <v>Taastrup</v>
      </c>
      <c r="L40" s="2" t="str">
        <f ca="1">IFERROR(__xludf.DUMMYFUNCTION("""COMPUTED_VALUE"""),"Høje-Taastrup")</f>
        <v>Høje-Taastrup</v>
      </c>
      <c r="M40" s="2" t="str">
        <f ca="1">IFERROR(__xludf.DUMMYFUNCTION("""COMPUTED_VALUE"""),"Københavns omegn")</f>
        <v>Københavns omegn</v>
      </c>
      <c r="N40" s="2" t="str">
        <f ca="1">IFERROR(__xludf.DUMMYFUNCTION("""COMPUTED_VALUE"""),"Hovedstaden")</f>
        <v>Hovedstaden</v>
      </c>
      <c r="O40" s="2">
        <f ca="1">IFERROR(__xludf.DUMMYFUNCTION("""COMPUTED_VALUE"""),43500500)</f>
        <v>43500500</v>
      </c>
      <c r="P40" s="2" t="str">
        <f ca="1">IFERROR(__xludf.DUMMYFUNCTION("""COMPUTED_VALUE"""),"2630@estate.dk")</f>
        <v>2630@estate.dk</v>
      </c>
      <c r="Q40" s="27" t="str">
        <f ca="1">IFERROR(__xludf.DUMMYFUNCTION("""COMPUTED_VALUE"""),"https://www.boliga.dk/maegler/25164")</f>
        <v>https://www.boliga.dk/maegler/25164</v>
      </c>
      <c r="R40" s="2" t="str">
        <f ca="1">IFERROR(__xludf.DUMMYFUNCTION("""COMPUTED_VALUE"""),"-")</f>
        <v>-</v>
      </c>
      <c r="S40" s="2" t="str">
        <f ca="1">IFERROR(__xludf.DUMMYFUNCTION("""COMPUTED_VALUE"""),"-")</f>
        <v>-</v>
      </c>
      <c r="T40" s="2" t="str">
        <f ca="1">IFERROR(__xludf.DUMMYFUNCTION("""COMPUTED_VALUE"""),"-")</f>
        <v>-</v>
      </c>
      <c r="U40" s="2">
        <f ca="1">IFERROR(__xludf.DUMMYFUNCTION("""COMPUTED_VALUE"""),17)</f>
        <v>17</v>
      </c>
      <c r="V40" s="2" t="str">
        <f ca="1">IFERROR(__xludf.DUMMYFUNCTION("""COMPUTED_VALUE"""),"2630, 2640, 2635")</f>
        <v>2630, 2640, 2635</v>
      </c>
      <c r="W40" s="2">
        <f ca="1">IFERROR(__xludf.DUMMYFUNCTION("""COMPUTED_VALUE"""),25)</f>
        <v>25</v>
      </c>
      <c r="X40" s="2" t="str">
        <f ca="1">IFERROR(__xludf.DUMMYFUNCTION("""COMPUTED_VALUE"""),"2640, 2630")</f>
        <v>2640, 2630</v>
      </c>
      <c r="Y40" s="2" t="str">
        <f ca="1">IFERROR(__xludf.DUMMYFUNCTION("""COMPUTED_VALUE"""),"ja")</f>
        <v>ja</v>
      </c>
      <c r="Z40" s="2" t="str">
        <f ca="1">IFERROR(__xludf.DUMMYFUNCTION("""COMPUTED_VALUE"""),"Se Glostrup")</f>
        <v>Se Glostrup</v>
      </c>
      <c r="AA40" s="25"/>
      <c r="AB40" s="2" t="str">
        <f ca="1">IFERROR(__xludf.DUMMYFUNCTION("""COMPUTED_VALUE"""),"x")</f>
        <v>x</v>
      </c>
      <c r="AC40" s="2" t="str">
        <f ca="1">IFERROR(__xludf.DUMMYFUNCTION("""COMPUTED_VALUE"""),"x")</f>
        <v>x</v>
      </c>
    </row>
    <row r="41" spans="1:29" ht="12.45">
      <c r="A41" s="2" t="str">
        <f ca="1">IFERROR(__xludf.DUMMYFUNCTION("""COMPUTED_VALUE"""),"Christian")</f>
        <v>Christian</v>
      </c>
      <c r="B41" s="2" t="str">
        <f ca="1">IFERROR(__xludf.DUMMYFUNCTION("""COMPUTED_VALUE"""),"Estate Vanløse")</f>
        <v>Estate Vanløse</v>
      </c>
      <c r="C41" s="2">
        <f ca="1">IFERROR(__xludf.DUMMYFUNCTION("""COMPUTED_VALUE"""),42135569)</f>
        <v>42135569</v>
      </c>
      <c r="D41" s="2" t="str">
        <f ca="1">IFERROR(__xludf.DUMMYFUNCTION("""COMPUTED_VALUE"""),"MG-SJ: 3.499,-")</f>
        <v>MG-SJ: 3.499,-</v>
      </c>
      <c r="E41" s="2">
        <f ca="1">IFERROR(__xludf.DUMMYFUNCTION("""COMPUTED_VALUE"""),1202)</f>
        <v>1202</v>
      </c>
      <c r="F41" s="2" t="str">
        <f ca="1">IFERROR(__xludf.DUMMYFUNCTION("""COMPUTED_VALUE"""),"Kasper Elleriis")</f>
        <v>Kasper Elleriis</v>
      </c>
      <c r="G41" s="2" t="str">
        <f ca="1">IFERROR(__xludf.DUMMYFUNCTION("""COMPUTED_VALUE"""),"ka@estate.dk")</f>
        <v>ka@estate.dk</v>
      </c>
      <c r="H41" s="2"/>
      <c r="I41" s="2" t="str">
        <f ca="1">IFERROR(__xludf.DUMMYFUNCTION("""COMPUTED_VALUE"""),"Jernbane Allé 49")</f>
        <v>Jernbane Allé 49</v>
      </c>
      <c r="J41" s="2">
        <f ca="1">IFERROR(__xludf.DUMMYFUNCTION("""COMPUTED_VALUE"""),2720)</f>
        <v>2720</v>
      </c>
      <c r="K41" s="2" t="str">
        <f ca="1">IFERROR(__xludf.DUMMYFUNCTION("""COMPUTED_VALUE"""),"Vanløse")</f>
        <v>Vanløse</v>
      </c>
      <c r="L41" s="2" t="str">
        <f ca="1">IFERROR(__xludf.DUMMYFUNCTION("""COMPUTED_VALUE"""),"København")</f>
        <v>København</v>
      </c>
      <c r="M41" s="2" t="str">
        <f ca="1">IFERROR(__xludf.DUMMYFUNCTION("""COMPUTED_VALUE"""),"København By")</f>
        <v>København By</v>
      </c>
      <c r="N41" s="2" t="str">
        <f ca="1">IFERROR(__xludf.DUMMYFUNCTION("""COMPUTED_VALUE"""),"Hovedstaden")</f>
        <v>Hovedstaden</v>
      </c>
      <c r="O41" s="2">
        <f ca="1">IFERROR(__xludf.DUMMYFUNCTION("""COMPUTED_VALUE"""),38747577)</f>
        <v>38747577</v>
      </c>
      <c r="P41" s="2" t="str">
        <f ca="1">IFERROR(__xludf.DUMMYFUNCTION("""COMPUTED_VALUE"""),"2720@estate.dk")</f>
        <v>2720@estate.dk</v>
      </c>
      <c r="Q41" s="27" t="str">
        <f ca="1">IFERROR(__xludf.DUMMYFUNCTION("""COMPUTED_VALUE"""),"https://www.boliga.dk/maegler/27105")</f>
        <v>https://www.boliga.dk/maegler/27105</v>
      </c>
      <c r="R41" s="2" t="str">
        <f ca="1">IFERROR(__xludf.DUMMYFUNCTION("""COMPUTED_VALUE"""),"-")</f>
        <v>-</v>
      </c>
      <c r="S41" s="2" t="str">
        <f ca="1">IFERROR(__xludf.DUMMYFUNCTION("""COMPUTED_VALUE"""),"-")</f>
        <v>-</v>
      </c>
      <c r="T41" s="2" t="str">
        <f ca="1">IFERROR(__xludf.DUMMYFUNCTION("""COMPUTED_VALUE"""),"-")</f>
        <v>-</v>
      </c>
      <c r="U41" s="2">
        <f ca="1">IFERROR(__xludf.DUMMYFUNCTION("""COMPUTED_VALUE"""),4)</f>
        <v>4</v>
      </c>
      <c r="V41" s="2">
        <f ca="1">IFERROR(__xludf.DUMMYFUNCTION("""COMPUTED_VALUE"""),2720)</f>
        <v>2720</v>
      </c>
      <c r="W41" s="2">
        <f ca="1">IFERROR(__xludf.DUMMYFUNCTION("""COMPUTED_VALUE"""),11)</f>
        <v>11</v>
      </c>
      <c r="X41" s="2" t="str">
        <f ca="1">IFERROR(__xludf.DUMMYFUNCTION("""COMPUTED_VALUE"""),"2610, 2000, 2700, 2720")</f>
        <v>2610, 2000, 2700, 2720</v>
      </c>
      <c r="Y41" s="2" t="str">
        <f ca="1">IFERROR(__xludf.DUMMYFUNCTION("""COMPUTED_VALUE"""),"ja")</f>
        <v>ja</v>
      </c>
      <c r="Z41" s="2" t="str">
        <f ca="1">IFERROR(__xludf.DUMMYFUNCTION("""COMPUTED_VALUE"""),"han er klar, skal lige vendes med jesper")</f>
        <v>han er klar, skal lige vendes med jesper</v>
      </c>
      <c r="AA41" s="25"/>
      <c r="AB41" s="2" t="str">
        <f ca="1">IFERROR(__xludf.DUMMYFUNCTION("""COMPUTED_VALUE"""),"x")</f>
        <v>x</v>
      </c>
      <c r="AC41" s="2" t="str">
        <f ca="1">IFERROR(__xludf.DUMMYFUNCTION("""COMPUTED_VALUE"""),"x")</f>
        <v>x</v>
      </c>
    </row>
    <row r="42" spans="1:29" ht="12.45">
      <c r="A42" s="2" t="str">
        <f ca="1">IFERROR(__xludf.DUMMYFUNCTION("""COMPUTED_VALUE"""),"Christian")</f>
        <v>Christian</v>
      </c>
      <c r="B42" s="2" t="str">
        <f ca="1">IFERROR(__xludf.DUMMYFUNCTION("""COMPUTED_VALUE"""),"Estate Varde - Helge Larsen")</f>
        <v>Estate Varde - Helge Larsen</v>
      </c>
      <c r="C42" s="2">
        <f ca="1">IFERROR(__xludf.DUMMYFUNCTION("""COMPUTED_VALUE"""),37376329)</f>
        <v>37376329</v>
      </c>
      <c r="D42" s="2" t="str">
        <f ca="1">IFERROR(__xludf.DUMMYFUNCTION("""COMPUTED_VALUE"""),"MG-JY: 2.499,-")</f>
        <v>MG-JY: 2.499,-</v>
      </c>
      <c r="E42" s="2">
        <f ca="1">IFERROR(__xludf.DUMMYFUNCTION("""COMPUTED_VALUE"""),1201)</f>
        <v>1201</v>
      </c>
      <c r="F42" s="2" t="str">
        <f ca="1">IFERROR(__xludf.DUMMYFUNCTION("""COMPUTED_VALUE"""),"Robin Thybo")</f>
        <v>Robin Thybo</v>
      </c>
      <c r="G42" s="2" t="str">
        <f ca="1">IFERROR(__xludf.DUMMYFUNCTION("""COMPUTED_VALUE"""),"rth@estate.dk")</f>
        <v>rth@estate.dk</v>
      </c>
      <c r="H42" s="2"/>
      <c r="I42" s="2" t="str">
        <f ca="1">IFERROR(__xludf.DUMMYFUNCTION("""COMPUTED_VALUE"""),"Nordre Boulevard 205")</f>
        <v>Nordre Boulevard 205</v>
      </c>
      <c r="J42" s="2">
        <f ca="1">IFERROR(__xludf.DUMMYFUNCTION("""COMPUTED_VALUE"""),6800)</f>
        <v>6800</v>
      </c>
      <c r="K42" s="2" t="str">
        <f ca="1">IFERROR(__xludf.DUMMYFUNCTION("""COMPUTED_VALUE"""),"Varde")</f>
        <v>Varde</v>
      </c>
      <c r="L42" s="2" t="str">
        <f ca="1">IFERROR(__xludf.DUMMYFUNCTION("""COMPUTED_VALUE"""),"Varde")</f>
        <v>Varde</v>
      </c>
      <c r="M42" s="2" t="str">
        <f ca="1">IFERROR(__xludf.DUMMYFUNCTION("""COMPUTED_VALUE"""),"Sydjylland")</f>
        <v>Sydjylland</v>
      </c>
      <c r="N42" s="2" t="str">
        <f ca="1">IFERROR(__xludf.DUMMYFUNCTION("""COMPUTED_VALUE"""),"Syddanmark")</f>
        <v>Syddanmark</v>
      </c>
      <c r="O42" s="2">
        <f ca="1">IFERROR(__xludf.DUMMYFUNCTION("""COMPUTED_VALUE"""),75222900)</f>
        <v>75222900</v>
      </c>
      <c r="P42" s="2" t="str">
        <f ca="1">IFERROR(__xludf.DUMMYFUNCTION("""COMPUTED_VALUE"""),"6800@estate.dk")</f>
        <v>6800@estate.dk</v>
      </c>
      <c r="Q42" s="27" t="str">
        <f ca="1">IFERROR(__xludf.DUMMYFUNCTION("""COMPUTED_VALUE"""),"https://www.boliga.dk/maegler/25123")</f>
        <v>https://www.boliga.dk/maegler/25123</v>
      </c>
      <c r="R42" s="2" t="str">
        <f ca="1">IFERROR(__xludf.DUMMYFUNCTION("""COMPUTED_VALUE"""),"-")</f>
        <v>-</v>
      </c>
      <c r="S42" s="2" t="str">
        <f ca="1">IFERROR(__xludf.DUMMYFUNCTION("""COMPUTED_VALUE"""),"-")</f>
        <v>-</v>
      </c>
      <c r="T42" s="2" t="str">
        <f ca="1">IFERROR(__xludf.DUMMYFUNCTION("""COMPUTED_VALUE"""),"-")</f>
        <v>-</v>
      </c>
      <c r="U42" s="2">
        <f ca="1">IFERROR(__xludf.DUMMYFUNCTION("""COMPUTED_VALUE"""),19)</f>
        <v>19</v>
      </c>
      <c r="V42" s="2" t="str">
        <f ca="1">IFERROR(__xludf.DUMMYFUNCTION("""COMPUTED_VALUE"""),"6800, 6771, 6840, 6830, 6960, 6854, 6851, 6823, 6862")</f>
        <v>6800, 6771, 6840, 6830, 6960, 6854, 6851, 6823, 6862</v>
      </c>
      <c r="W42" s="2">
        <f ca="1">IFERROR(__xludf.DUMMYFUNCTION("""COMPUTED_VALUE"""),21)</f>
        <v>21</v>
      </c>
      <c r="X42" s="2" t="str">
        <f ca="1">IFERROR(__xludf.DUMMYFUNCTION("""COMPUTED_VALUE"""),"6800, 6823, 6840, 6818, 6960, 6753, 6830, 6854, 6870")</f>
        <v>6800, 6823, 6840, 6818, 6960, 6753, 6830, 6854, 6870</v>
      </c>
      <c r="Y42" s="2" t="str">
        <f ca="1">IFERROR(__xludf.DUMMYFUNCTION("""COMPUTED_VALUE"""),"ja")</f>
        <v>ja</v>
      </c>
      <c r="Z42" s="2" t="str">
        <f ca="1">IFERROR(__xludf.DUMMYFUNCTION("""COMPUTED_VALUE"""),"se Bramming")</f>
        <v>se Bramming</v>
      </c>
      <c r="AA42" s="25"/>
      <c r="AB42" s="2" t="str">
        <f ca="1">IFERROR(__xludf.DUMMYFUNCTION("""COMPUTED_VALUE"""),"x")</f>
        <v>x</v>
      </c>
      <c r="AC42" s="2" t="str">
        <f ca="1">IFERROR(__xludf.DUMMYFUNCTION("""COMPUTED_VALUE"""),"x")</f>
        <v>x</v>
      </c>
    </row>
    <row r="43" spans="1:29" ht="12.45">
      <c r="A43" s="2" t="str">
        <f ca="1">IFERROR(__xludf.DUMMYFUNCTION("""COMPUTED_VALUE"""),"Christian")</f>
        <v>Christian</v>
      </c>
      <c r="B43" s="2" t="str">
        <f ca="1">IFERROR(__xludf.DUMMYFUNCTION("""COMPUTED_VALUE"""),"Estate Vesterbro")</f>
        <v>Estate Vesterbro</v>
      </c>
      <c r="C43" s="2">
        <f ca="1">IFERROR(__xludf.DUMMYFUNCTION("""COMPUTED_VALUE"""),41477946)</f>
        <v>41477946</v>
      </c>
      <c r="D43" s="2" t="str">
        <f ca="1">IFERROR(__xludf.DUMMYFUNCTION("""COMPUTED_VALUE"""),"MG-SJ: 3.499,-")</f>
        <v>MG-SJ: 3.499,-</v>
      </c>
      <c r="E43" s="2">
        <f ca="1">IFERROR(__xludf.DUMMYFUNCTION("""COMPUTED_VALUE"""),1202)</f>
        <v>1202</v>
      </c>
      <c r="F43" s="2" t="str">
        <f ca="1">IFERROR(__xludf.DUMMYFUNCTION("""COMPUTED_VALUE"""),"Danni Bredmose")</f>
        <v>Danni Bredmose</v>
      </c>
      <c r="G43" s="2" t="str">
        <f ca="1">IFERROR(__xludf.DUMMYFUNCTION("""COMPUTED_VALUE"""),"dbd@estate.dk")</f>
        <v>dbd@estate.dk</v>
      </c>
      <c r="H43" s="2"/>
      <c r="I43" s="2" t="str">
        <f ca="1">IFERROR(__xludf.DUMMYFUNCTION("""COMPUTED_VALUE"""),"Vesterbrogade 144B")</f>
        <v>Vesterbrogade 144B</v>
      </c>
      <c r="J43" s="2">
        <f ca="1">IFERROR(__xludf.DUMMYFUNCTION("""COMPUTED_VALUE"""),1620)</f>
        <v>1620</v>
      </c>
      <c r="K43" s="2" t="str">
        <f ca="1">IFERROR(__xludf.DUMMYFUNCTION("""COMPUTED_VALUE"""),"København V")</f>
        <v>København V</v>
      </c>
      <c r="L43" s="2" t="str">
        <f ca="1">IFERROR(__xludf.DUMMYFUNCTION("""COMPUTED_VALUE"""),"København")</f>
        <v>København</v>
      </c>
      <c r="M43" s="2" t="str">
        <f ca="1">IFERROR(__xludf.DUMMYFUNCTION("""COMPUTED_VALUE"""),"København By")</f>
        <v>København By</v>
      </c>
      <c r="N43" s="2" t="str">
        <f ca="1">IFERROR(__xludf.DUMMYFUNCTION("""COMPUTED_VALUE"""),"Hovedstaden")</f>
        <v>Hovedstaden</v>
      </c>
      <c r="O43" s="2">
        <f ca="1">IFERROR(__xludf.DUMMYFUNCTION("""COMPUTED_VALUE"""),32640800)</f>
        <v>32640800</v>
      </c>
      <c r="P43" s="2" t="str">
        <f ca="1">IFERROR(__xludf.DUMMYFUNCTION("""COMPUTED_VALUE"""),"1620@estate.dk")</f>
        <v>1620@estate.dk</v>
      </c>
      <c r="Q43" s="27" t="str">
        <f ca="1">IFERROR(__xludf.DUMMYFUNCTION("""COMPUTED_VALUE"""),"https://www.boliga.dk/maegler/27104")</f>
        <v>https://www.boliga.dk/maegler/27104</v>
      </c>
      <c r="R43" s="2" t="str">
        <f ca="1">IFERROR(__xludf.DUMMYFUNCTION("""COMPUTED_VALUE"""),"-")</f>
        <v>-</v>
      </c>
      <c r="S43" s="2" t="str">
        <f ca="1">IFERROR(__xludf.DUMMYFUNCTION("""COMPUTED_VALUE"""),"-")</f>
        <v>-</v>
      </c>
      <c r="T43" s="2" t="str">
        <f ca="1">IFERROR(__xludf.DUMMYFUNCTION("""COMPUTED_VALUE"""),"-")</f>
        <v>-</v>
      </c>
      <c r="U43" s="2">
        <f ca="1">IFERROR(__xludf.DUMMYFUNCTION("""COMPUTED_VALUE"""),4)</f>
        <v>4</v>
      </c>
      <c r="V43" s="2" t="str">
        <f ca="1">IFERROR(__xludf.DUMMYFUNCTION("""COMPUTED_VALUE"""),"2500, 9881, 1666, 2100")</f>
        <v>2500, 9881, 1666, 2100</v>
      </c>
      <c r="W43" s="2">
        <f ca="1">IFERROR(__xludf.DUMMYFUNCTION("""COMPUTED_VALUE"""),3)</f>
        <v>3</v>
      </c>
      <c r="X43" s="2" t="str">
        <f ca="1">IFERROR(__xludf.DUMMYFUNCTION("""COMPUTED_VALUE"""),"1726, 1669, 1799")</f>
        <v>1726, 1669, 1799</v>
      </c>
      <c r="Y43" s="2" t="str">
        <f ca="1">IFERROR(__xludf.DUMMYFUNCTION("""COMPUTED_VALUE"""),"ja")</f>
        <v>ja</v>
      </c>
      <c r="Z43" s="2" t="str">
        <f ca="1">IFERROR(__xludf.DUMMYFUNCTION("""COMPUTED_VALUE"""),"se estate frederiksberg")</f>
        <v>se estate frederiksberg</v>
      </c>
      <c r="AA43" s="25"/>
      <c r="AB43" s="2" t="str">
        <f ca="1">IFERROR(__xludf.DUMMYFUNCTION("""COMPUTED_VALUE"""),"x")</f>
        <v>x</v>
      </c>
      <c r="AC43" s="2" t="str">
        <f ca="1">IFERROR(__xludf.DUMMYFUNCTION("""COMPUTED_VALUE"""),"x")</f>
        <v>x</v>
      </c>
    </row>
    <row r="44" spans="1:29" ht="12.45">
      <c r="A44" s="2" t="str">
        <f ca="1">IFERROR(__xludf.DUMMYFUNCTION("""COMPUTED_VALUE"""),"Christian")</f>
        <v>Christian</v>
      </c>
      <c r="B44" s="2" t="str">
        <f ca="1">IFERROR(__xludf.DUMMYFUNCTION("""COMPUTED_VALUE"""),"Estate Vestjylland Hvide Sande")</f>
        <v>Estate Vestjylland Hvide Sande</v>
      </c>
      <c r="C44" s="2">
        <f ca="1">IFERROR(__xludf.DUMMYFUNCTION("""COMPUTED_VALUE"""),30281926)</f>
        <v>30281926</v>
      </c>
      <c r="D44" s="2" t="str">
        <f ca="1">IFERROR(__xludf.DUMMYFUNCTION("""COMPUTED_VALUE"""),"MG-JY: 2.499,-")</f>
        <v>MG-JY: 2.499,-</v>
      </c>
      <c r="E44" s="2">
        <f ca="1">IFERROR(__xludf.DUMMYFUNCTION("""COMPUTED_VALUE"""),1201)</f>
        <v>1201</v>
      </c>
      <c r="F44" s="2" t="str">
        <f ca="1">IFERROR(__xludf.DUMMYFUNCTION("""COMPUTED_VALUE"""),"Alfred Berg")</f>
        <v>Alfred Berg</v>
      </c>
      <c r="G44" s="2" t="str">
        <f ca="1">IFERROR(__xludf.DUMMYFUNCTION("""COMPUTED_VALUE"""),"alb@estate.dk")</f>
        <v>alb@estate.dk</v>
      </c>
      <c r="H44" s="2"/>
      <c r="I44" s="2" t="str">
        <f ca="1">IFERROR(__xludf.DUMMYFUNCTION("""COMPUTED_VALUE"""),"Metheasvej 6")</f>
        <v>Metheasvej 6</v>
      </c>
      <c r="J44" s="2">
        <f ca="1">IFERROR(__xludf.DUMMYFUNCTION("""COMPUTED_VALUE"""),6960)</f>
        <v>6960</v>
      </c>
      <c r="K44" s="2" t="str">
        <f ca="1">IFERROR(__xludf.DUMMYFUNCTION("""COMPUTED_VALUE"""),"Hvide Sande")</f>
        <v>Hvide Sande</v>
      </c>
      <c r="L44" s="2" t="str">
        <f ca="1">IFERROR(__xludf.DUMMYFUNCTION("""COMPUTED_VALUE"""),"Ringkøbing-Skjern")</f>
        <v>Ringkøbing-Skjern</v>
      </c>
      <c r="M44" s="2" t="str">
        <f ca="1">IFERROR(__xludf.DUMMYFUNCTION("""COMPUTED_VALUE"""),"Vestjylland")</f>
        <v>Vestjylland</v>
      </c>
      <c r="N44" s="2" t="str">
        <f ca="1">IFERROR(__xludf.DUMMYFUNCTION("""COMPUTED_VALUE"""),"Midtjylland")</f>
        <v>Midtjylland</v>
      </c>
      <c r="O44" s="2" t="str">
        <f ca="1">IFERROR(__xludf.DUMMYFUNCTION("""COMPUTED_VALUE"""),"9732 3022")</f>
        <v>9732 3022</v>
      </c>
      <c r="P44" s="2" t="str">
        <f ca="1">IFERROR(__xludf.DUMMYFUNCTION("""COMPUTED_VALUE"""),"6960@estate.dk")</f>
        <v>6960@estate.dk</v>
      </c>
      <c r="Q44" s="27" t="str">
        <f ca="1">IFERROR(__xludf.DUMMYFUNCTION("""COMPUTED_VALUE"""),"https://www.boliga.dk/maegler/28996")</f>
        <v>https://www.boliga.dk/maegler/28996</v>
      </c>
      <c r="R44" s="2" t="str">
        <f ca="1">IFERROR(__xludf.DUMMYFUNCTION("""COMPUTED_VALUE"""),"-")</f>
        <v>-</v>
      </c>
      <c r="S44" s="2" t="str">
        <f ca="1">IFERROR(__xludf.DUMMYFUNCTION("""COMPUTED_VALUE"""),"-")</f>
        <v>-</v>
      </c>
      <c r="T44" s="2" t="str">
        <f ca="1">IFERROR(__xludf.DUMMYFUNCTION("""COMPUTED_VALUE"""),"-")</f>
        <v>-</v>
      </c>
      <c r="U44" s="2">
        <f ca="1">IFERROR(__xludf.DUMMYFUNCTION("""COMPUTED_VALUE"""),3)</f>
        <v>3</v>
      </c>
      <c r="V44" s="2">
        <f ca="1">IFERROR(__xludf.DUMMYFUNCTION("""COMPUTED_VALUE"""),6960)</f>
        <v>6960</v>
      </c>
      <c r="W44" s="2" t="str">
        <f ca="1">IFERROR(__xludf.DUMMYFUNCTION("""COMPUTED_VALUE"""),"-")</f>
        <v>-</v>
      </c>
      <c r="X44" s="2" t="str">
        <f ca="1">IFERROR(__xludf.DUMMYFUNCTION("""COMPUTED_VALUE"""),"-")</f>
        <v>-</v>
      </c>
      <c r="Y44" s="2" t="str">
        <f ca="1">IFERROR(__xludf.DUMMYFUNCTION("""COMPUTED_VALUE"""),"ja")</f>
        <v>ja</v>
      </c>
      <c r="Z44" s="2" t="str">
        <f ca="1">IFERROR(__xludf.DUMMYFUNCTION("""COMPUTED_VALUE"""),"Talte med alfred som bad mig sende tidspunkt for tlf møde")</f>
        <v>Talte med alfred som bad mig sende tidspunkt for tlf møde</v>
      </c>
      <c r="AA44" s="25"/>
      <c r="AB44" s="2" t="str">
        <f ca="1">IFERROR(__xludf.DUMMYFUNCTION("""COMPUTED_VALUE"""),"x")</f>
        <v>x</v>
      </c>
      <c r="AC44" s="2" t="str">
        <f ca="1">IFERROR(__xludf.DUMMYFUNCTION("""COMPUTED_VALUE"""),"x")</f>
        <v>x</v>
      </c>
    </row>
    <row r="45" spans="1:29" ht="12.45">
      <c r="A45" s="2" t="str">
        <f ca="1">IFERROR(__xludf.DUMMYFUNCTION("""COMPUTED_VALUE"""),"Christian")</f>
        <v>Christian</v>
      </c>
      <c r="B45" s="2" t="str">
        <f ca="1">IFERROR(__xludf.DUMMYFUNCTION("""COMPUTED_VALUE"""),"Estate Vestjylland Ringkøbing")</f>
        <v>Estate Vestjylland Ringkøbing</v>
      </c>
      <c r="C45" s="2">
        <f ca="1">IFERROR(__xludf.DUMMYFUNCTION("""COMPUTED_VALUE"""),30281926)</f>
        <v>30281926</v>
      </c>
      <c r="D45" s="2" t="str">
        <f ca="1">IFERROR(__xludf.DUMMYFUNCTION("""COMPUTED_VALUE"""),"MG-JY: 2.499,-")</f>
        <v>MG-JY: 2.499,-</v>
      </c>
      <c r="E45" s="2">
        <f ca="1">IFERROR(__xludf.DUMMYFUNCTION("""COMPUTED_VALUE"""),1201)</f>
        <v>1201</v>
      </c>
      <c r="F45" s="2" t="str">
        <f ca="1">IFERROR(__xludf.DUMMYFUNCTION("""COMPUTED_VALUE"""),"Alfred Berg")</f>
        <v>Alfred Berg</v>
      </c>
      <c r="G45" s="2" t="str">
        <f ca="1">IFERROR(__xludf.DUMMYFUNCTION("""COMPUTED_VALUE"""),"alb@estate.dk")</f>
        <v>alb@estate.dk</v>
      </c>
      <c r="H45" s="2"/>
      <c r="I45" s="2" t="str">
        <f ca="1">IFERROR(__xludf.DUMMYFUNCTION("""COMPUTED_VALUE"""),"Torvegade 5E")</f>
        <v>Torvegade 5E</v>
      </c>
      <c r="J45" s="2">
        <f ca="1">IFERROR(__xludf.DUMMYFUNCTION("""COMPUTED_VALUE"""),6950)</f>
        <v>6950</v>
      </c>
      <c r="K45" s="2" t="str">
        <f ca="1">IFERROR(__xludf.DUMMYFUNCTION("""COMPUTED_VALUE"""),"Ringkøbing")</f>
        <v>Ringkøbing</v>
      </c>
      <c r="L45" s="2" t="str">
        <f ca="1">IFERROR(__xludf.DUMMYFUNCTION("""COMPUTED_VALUE"""),"Ringkøbing-Skjern")</f>
        <v>Ringkøbing-Skjern</v>
      </c>
      <c r="M45" s="2" t="str">
        <f ca="1">IFERROR(__xludf.DUMMYFUNCTION("""COMPUTED_VALUE"""),"Vestjylland")</f>
        <v>Vestjylland</v>
      </c>
      <c r="N45" s="2" t="str">
        <f ca="1">IFERROR(__xludf.DUMMYFUNCTION("""COMPUTED_VALUE"""),"Midtjylland")</f>
        <v>Midtjylland</v>
      </c>
      <c r="O45" s="2">
        <f ca="1">IFERROR(__xludf.DUMMYFUNCTION("""COMPUTED_VALUE"""),97323022)</f>
        <v>97323022</v>
      </c>
      <c r="P45" s="2" t="str">
        <f ca="1">IFERROR(__xludf.DUMMYFUNCTION("""COMPUTED_VALUE"""),"6950@estate.dk")</f>
        <v>6950@estate.dk</v>
      </c>
      <c r="Q45" s="27" t="str">
        <f ca="1">IFERROR(__xludf.DUMMYFUNCTION("""COMPUTED_VALUE"""),"https://www.boliga.dk/maegler/29000")</f>
        <v>https://www.boliga.dk/maegler/29000</v>
      </c>
      <c r="R45" s="2" t="str">
        <f ca="1">IFERROR(__xludf.DUMMYFUNCTION("""COMPUTED_VALUE"""),"-")</f>
        <v>-</v>
      </c>
      <c r="S45" s="2" t="str">
        <f ca="1">IFERROR(__xludf.DUMMYFUNCTION("""COMPUTED_VALUE"""),"-")</f>
        <v>-</v>
      </c>
      <c r="T45" s="2" t="str">
        <f ca="1">IFERROR(__xludf.DUMMYFUNCTION("""COMPUTED_VALUE"""),"-")</f>
        <v>-</v>
      </c>
      <c r="U45" s="2">
        <f ca="1">IFERROR(__xludf.DUMMYFUNCTION("""COMPUTED_VALUE"""),67)</f>
        <v>67</v>
      </c>
      <c r="V45" s="2" t="str">
        <f ca="1">IFERROR(__xludf.DUMMYFUNCTION("""COMPUTED_VALUE"""),"6940, 6990, 6950, 6960")</f>
        <v>6940, 6990, 6950, 6960</v>
      </c>
      <c r="W45" s="2">
        <f ca="1">IFERROR(__xludf.DUMMYFUNCTION("""COMPUTED_VALUE"""),52)</f>
        <v>52</v>
      </c>
      <c r="X45" s="2" t="str">
        <f ca="1">IFERROR(__xludf.DUMMYFUNCTION("""COMPUTED_VALUE"""),"6940, 6960, 6950, 6980")</f>
        <v>6940, 6960, 6950, 6980</v>
      </c>
      <c r="Y45" s="2" t="str">
        <f ca="1">IFERROR(__xludf.DUMMYFUNCTION("""COMPUTED_VALUE"""),"ja")</f>
        <v>ja</v>
      </c>
      <c r="Z45" s="2" t="str">
        <f ca="1">IFERROR(__xludf.DUMMYFUNCTION("""COMPUTED_VALUE"""),"se hvide sande")</f>
        <v>se hvide sande</v>
      </c>
      <c r="AA45" s="25"/>
      <c r="AB45" s="2" t="str">
        <f ca="1">IFERROR(__xludf.DUMMYFUNCTION("""COMPUTED_VALUE"""),"x")</f>
        <v>x</v>
      </c>
      <c r="AC45" s="2" t="str">
        <f ca="1">IFERROR(__xludf.DUMMYFUNCTION("""COMPUTED_VALUE"""),"x")</f>
        <v>x</v>
      </c>
    </row>
    <row r="46" spans="1:29" ht="12.45">
      <c r="A46" s="2" t="str">
        <f ca="1">IFERROR(__xludf.DUMMYFUNCTION("""COMPUTED_VALUE"""),"Christian")</f>
        <v>Christian</v>
      </c>
      <c r="B46" s="2" t="str">
        <f ca="1">IFERROR(__xludf.DUMMYFUNCTION("""COMPUTED_VALUE"""),"Estate Viborg Mægleren")</f>
        <v>Estate Viborg Mægleren</v>
      </c>
      <c r="C46" s="2">
        <f ca="1">IFERROR(__xludf.DUMMYFUNCTION("""COMPUTED_VALUE"""),41087439)</f>
        <v>41087439</v>
      </c>
      <c r="D46" s="2" t="str">
        <f ca="1">IFERROR(__xludf.DUMMYFUNCTION("""COMPUTED_VALUE"""),"MG-JY: 2.499,-")</f>
        <v>MG-JY: 2.499,-</v>
      </c>
      <c r="E46" s="2">
        <f ca="1">IFERROR(__xludf.DUMMYFUNCTION("""COMPUTED_VALUE"""),1201)</f>
        <v>1201</v>
      </c>
      <c r="F46" s="2" t="str">
        <f ca="1">IFERROR(__xludf.DUMMYFUNCTION("""COMPUTED_VALUE"""),"Jesper Edward Rasmussen")</f>
        <v>Jesper Edward Rasmussen</v>
      </c>
      <c r="G46" s="2" t="str">
        <f ca="1">IFERROR(__xludf.DUMMYFUNCTION("""COMPUTED_VALUE"""),"jr1@estate.dk")</f>
        <v>jr1@estate.dk</v>
      </c>
      <c r="H46" s="2"/>
      <c r="I46" s="2" t="str">
        <f ca="1">IFERROR(__xludf.DUMMYFUNCTION("""COMPUTED_VALUE"""),"Tingvej 2A")</f>
        <v>Tingvej 2A</v>
      </c>
      <c r="J46" s="2">
        <f ca="1">IFERROR(__xludf.DUMMYFUNCTION("""COMPUTED_VALUE"""),8800)</f>
        <v>8800</v>
      </c>
      <c r="K46" s="2" t="str">
        <f ca="1">IFERROR(__xludf.DUMMYFUNCTION("""COMPUTED_VALUE"""),"Viborg")</f>
        <v>Viborg</v>
      </c>
      <c r="L46" s="2" t="str">
        <f ca="1">IFERROR(__xludf.DUMMYFUNCTION("""COMPUTED_VALUE"""),"Viborg")</f>
        <v>Viborg</v>
      </c>
      <c r="M46" s="2" t="str">
        <f ca="1">IFERROR(__xludf.DUMMYFUNCTION("""COMPUTED_VALUE"""),"Vestjylland")</f>
        <v>Vestjylland</v>
      </c>
      <c r="N46" s="2" t="str">
        <f ca="1">IFERROR(__xludf.DUMMYFUNCTION("""COMPUTED_VALUE"""),"Midtjylland")</f>
        <v>Midtjylland</v>
      </c>
      <c r="O46" s="2">
        <f ca="1">IFERROR(__xludf.DUMMYFUNCTION("""COMPUTED_VALUE"""),82303069)</f>
        <v>82303069</v>
      </c>
      <c r="P46" s="2" t="str">
        <f ca="1">IFERROR(__xludf.DUMMYFUNCTION("""COMPUTED_VALUE"""),"8802@estate.dk")</f>
        <v>8802@estate.dk</v>
      </c>
      <c r="Q46" s="27" t="str">
        <f ca="1">IFERROR(__xludf.DUMMYFUNCTION("""COMPUTED_VALUE"""),"https://www.boliga.dk/maegler/26679")</f>
        <v>https://www.boliga.dk/maegler/26679</v>
      </c>
      <c r="R46" s="2" t="str">
        <f ca="1">IFERROR(__xludf.DUMMYFUNCTION("""COMPUTED_VALUE"""),"-")</f>
        <v>-</v>
      </c>
      <c r="S46" s="2" t="str">
        <f ca="1">IFERROR(__xludf.DUMMYFUNCTION("""COMPUTED_VALUE"""),"-")</f>
        <v>-</v>
      </c>
      <c r="T46" s="2" t="str">
        <f ca="1">IFERROR(__xludf.DUMMYFUNCTION("""COMPUTED_VALUE"""),"-")</f>
        <v>-</v>
      </c>
      <c r="U46" s="2">
        <f ca="1">IFERROR(__xludf.DUMMYFUNCTION("""COMPUTED_VALUE"""),44)</f>
        <v>44</v>
      </c>
      <c r="V46" s="2" t="str">
        <f ca="1">IFERROR(__xludf.DUMMYFUNCTION("""COMPUTED_VALUE"""),"7850, 9640, 7840, 8830, 8800, 9631, 8832, 8831")</f>
        <v>7850, 9640, 7840, 8830, 8800, 9631, 8832, 8831</v>
      </c>
      <c r="W46" s="2">
        <f ca="1">IFERROR(__xludf.DUMMYFUNCTION("""COMPUTED_VALUE"""),13)</f>
        <v>13</v>
      </c>
      <c r="X46" s="2" t="str">
        <f ca="1">IFERROR(__xludf.DUMMYFUNCTION("""COMPUTED_VALUE"""),"7850, 9632, 8800, 8831, 8620, 7470, 9631, 8830")</f>
        <v>7850, 9632, 8800, 8831, 8620, 7470, 9631, 8830</v>
      </c>
      <c r="Y46" s="2" t="str">
        <f ca="1">IFERROR(__xludf.DUMMYFUNCTION("""COMPUTED_VALUE"""),"ja")</f>
        <v>ja</v>
      </c>
      <c r="Z46" s="2" t="str">
        <f ca="1">IFERROR(__xludf.DUMMYFUNCTION("""COMPUTED_VALUE"""),"han er klar")</f>
        <v>han er klar</v>
      </c>
      <c r="AA46" s="25"/>
      <c r="AB46" s="2" t="str">
        <f ca="1">IFERROR(__xludf.DUMMYFUNCTION("""COMPUTED_VALUE"""),"x")</f>
        <v>x</v>
      </c>
      <c r="AC46" s="2" t="str">
        <f ca="1">IFERROR(__xludf.DUMMYFUNCTION("""COMPUTED_VALUE"""),"x")</f>
        <v>x</v>
      </c>
    </row>
    <row r="47" spans="1:29" ht="12.45">
      <c r="A47" s="2" t="str">
        <f ca="1">IFERROR(__xludf.DUMMYFUNCTION("""COMPUTED_VALUE"""),"Christian")</f>
        <v>Christian</v>
      </c>
      <c r="B47" s="2" t="str">
        <f ca="1">IFERROR(__xludf.DUMMYFUNCTION("""COMPUTED_VALUE"""),"Unni Estates ApS")</f>
        <v>Unni Estates ApS</v>
      </c>
      <c r="C47" s="2"/>
      <c r="D47" s="2"/>
      <c r="E47" s="2" t="str">
        <f ca="1">IFERROR(__xludf.DUMMYFUNCTION("""COMPUTED_VALUE"""),"N/A")</f>
        <v>N/A</v>
      </c>
      <c r="F47" s="2"/>
      <c r="G47" s="2"/>
      <c r="H47" s="2"/>
      <c r="I47" s="2" t="str">
        <f ca="1">IFERROR(__xludf.DUMMYFUNCTION("""COMPUTED_VALUE"""),"Margrethevej 16B")</f>
        <v>Margrethevej 16B</v>
      </c>
      <c r="J47" s="2">
        <f ca="1">IFERROR(__xludf.DUMMYFUNCTION("""COMPUTED_VALUE"""),5800)</f>
        <v>5800</v>
      </c>
      <c r="K47" s="2" t="str">
        <f ca="1">IFERROR(__xludf.DUMMYFUNCTION("""COMPUTED_VALUE"""),"Nyborg")</f>
        <v>Nyborg</v>
      </c>
      <c r="L47" s="2" t="str">
        <f ca="1">IFERROR(__xludf.DUMMYFUNCTION("""COMPUTED_VALUE"""),"Nyborg")</f>
        <v>Nyborg</v>
      </c>
      <c r="M47" s="2" t="str">
        <f ca="1">IFERROR(__xludf.DUMMYFUNCTION("""COMPUTED_VALUE"""),"Fyn")</f>
        <v>Fyn</v>
      </c>
      <c r="N47" s="2" t="str">
        <f ca="1">IFERROR(__xludf.DUMMYFUNCTION("""COMPUTED_VALUE"""),"Syddanmark")</f>
        <v>Syddanmark</v>
      </c>
      <c r="O47" s="2">
        <f ca="1">IFERROR(__xludf.DUMMYFUNCTION("""COMPUTED_VALUE"""),50232800)</f>
        <v>50232800</v>
      </c>
      <c r="P47" s="2" t="str">
        <f ca="1">IFERROR(__xludf.DUMMYFUNCTION("""COMPUTED_VALUE"""),"info@unniestates.dk")</f>
        <v>info@unniestates.dk</v>
      </c>
      <c r="Q47" s="27" t="str">
        <f ca="1">IFERROR(__xludf.DUMMYFUNCTION("""COMPUTED_VALUE"""),"https://www.boliga.dk/maegler/25267")</f>
        <v>https://www.boliga.dk/maegler/25267</v>
      </c>
      <c r="R47" s="2" t="str">
        <f ca="1">IFERROR(__xludf.DUMMYFUNCTION("""COMPUTED_VALUE"""),"-")</f>
        <v>-</v>
      </c>
      <c r="S47" s="2" t="str">
        <f ca="1">IFERROR(__xludf.DUMMYFUNCTION("""COMPUTED_VALUE"""),"-")</f>
        <v>-</v>
      </c>
      <c r="T47" s="2" t="str">
        <f ca="1">IFERROR(__xludf.DUMMYFUNCTION("""COMPUTED_VALUE"""),"-")</f>
        <v>-</v>
      </c>
      <c r="U47" s="2">
        <f ca="1">IFERROR(__xludf.DUMMYFUNCTION("""COMPUTED_VALUE"""),16)</f>
        <v>16</v>
      </c>
      <c r="V47" s="2" t="str">
        <f ca="1">IFERROR(__xludf.DUMMYFUNCTION("""COMPUTED_VALUE"""),"5230, 6000, 5500, 5260, 5000, 5300, 5800")</f>
        <v>5230, 6000, 5500, 5260, 5000, 5300, 5800</v>
      </c>
      <c r="W47" s="2">
        <f ca="1">IFERROR(__xludf.DUMMYFUNCTION("""COMPUTED_VALUE"""),21)</f>
        <v>21</v>
      </c>
      <c r="X47" s="2" t="str">
        <f ca="1">IFERROR(__xludf.DUMMYFUNCTION("""COMPUTED_VALUE"""),"5250, 5260, 5230, 5000, 5380, 5300, 5463, 5330, 5800, 5700, 5600")</f>
        <v>5250, 5260, 5230, 5000, 5380, 5300, 5463, 5330, 5800, 5700, 5600</v>
      </c>
      <c r="Y47" s="2" t="str">
        <f ca="1">IFERROR(__xludf.DUMMYFUNCTION("""COMPUTED_VALUE"""),"ja")</f>
        <v>ja</v>
      </c>
      <c r="Z47" s="2" t="str">
        <f ca="1">IFERROR(__xludf.DUMMYFUNCTION("""COMPUTED_VALUE"""),"caroline er klar")</f>
        <v>caroline er klar</v>
      </c>
      <c r="AA47" s="25"/>
      <c r="AB47" s="2" t="str">
        <f ca="1">IFERROR(__xludf.DUMMYFUNCTION("""COMPUTED_VALUE"""),"x")</f>
        <v>x</v>
      </c>
      <c r="AC47" s="2"/>
    </row>
    <row r="48" spans="1:29" ht="12.45">
      <c r="A48" s="2" t="str">
        <f ca="1">IFERROR(__xludf.DUMMYFUNCTION("""COMPUTED_VALUE"""),"Christian")</f>
        <v>Christian</v>
      </c>
      <c r="B48" s="2" t="str">
        <f ca="1">IFERROR(__xludf.DUMMYFUNCTION("""COMPUTED_VALUE"""),"Ejendomsmæglerfirmaet Ronnie Karlsson")</f>
        <v>Ejendomsmæglerfirmaet Ronnie Karlsson</v>
      </c>
      <c r="C48" s="2">
        <f ca="1">IFERROR(__xludf.DUMMYFUNCTION("""COMPUTED_VALUE"""),39159996)</f>
        <v>39159996</v>
      </c>
      <c r="D48" s="2" t="str">
        <f ca="1">IFERROR(__xludf.DUMMYFUNCTION("""COMPUTED_VALUE"""),"MG-SJ: 3.499,-")</f>
        <v>MG-SJ: 3.499,-</v>
      </c>
      <c r="E48" s="2">
        <f ca="1">IFERROR(__xludf.DUMMYFUNCTION("""COMPUTED_VALUE"""),1202)</f>
        <v>1202</v>
      </c>
      <c r="F48" s="2" t="str">
        <f ca="1">IFERROR(__xludf.DUMMYFUNCTION("""COMPUTED_VALUE"""),"Ronnie Karlsson")</f>
        <v>Ronnie Karlsson</v>
      </c>
      <c r="G48" s="2" t="str">
        <f ca="1">IFERROR(__xludf.DUMMYFUNCTION("""COMPUTED_VALUE"""),"rk@ronniekarlsson.dk")</f>
        <v>rk@ronniekarlsson.dk</v>
      </c>
      <c r="H48" s="2"/>
      <c r="I48" s="2" t="str">
        <f ca="1">IFERROR(__xludf.DUMMYFUNCTION("""COMPUTED_VALUE"""),"Søborg Hovedgade 96-102")</f>
        <v>Søborg Hovedgade 96-102</v>
      </c>
      <c r="J48" s="2">
        <f ca="1">IFERROR(__xludf.DUMMYFUNCTION("""COMPUTED_VALUE"""),2860)</f>
        <v>2860</v>
      </c>
      <c r="K48" s="2" t="str">
        <f ca="1">IFERROR(__xludf.DUMMYFUNCTION("""COMPUTED_VALUE"""),"Søborg")</f>
        <v>Søborg</v>
      </c>
      <c r="L48" s="2" t="str">
        <f ca="1">IFERROR(__xludf.DUMMYFUNCTION("""COMPUTED_VALUE"""),"Gladsaxe")</f>
        <v>Gladsaxe</v>
      </c>
      <c r="M48" s="2" t="str">
        <f ca="1">IFERROR(__xludf.DUMMYFUNCTION("""COMPUTED_VALUE"""),"Københavns omegn")</f>
        <v>Københavns omegn</v>
      </c>
      <c r="N48" s="2" t="str">
        <f ca="1">IFERROR(__xludf.DUMMYFUNCTION("""COMPUTED_VALUE"""),"Hovedstaden")</f>
        <v>Hovedstaden</v>
      </c>
      <c r="O48" s="2">
        <f ca="1">IFERROR(__xludf.DUMMYFUNCTION("""COMPUTED_VALUE"""),88626020)</f>
        <v>88626020</v>
      </c>
      <c r="P48" s="2" t="str">
        <f ca="1">IFERROR(__xludf.DUMMYFUNCTION("""COMPUTED_VALUE"""),"boligsalg@ronniekarlsson.dk")</f>
        <v>boligsalg@ronniekarlsson.dk</v>
      </c>
      <c r="Q48" s="27" t="str">
        <f ca="1">IFERROR(__xludf.DUMMYFUNCTION("""COMPUTED_VALUE"""),"https://www.boliga.dk/maegler/24710")</f>
        <v>https://www.boliga.dk/maegler/24710</v>
      </c>
      <c r="R48" s="2" t="str">
        <f ca="1">IFERROR(__xludf.DUMMYFUNCTION("""COMPUTED_VALUE"""),"-")</f>
        <v>-</v>
      </c>
      <c r="S48" s="2" t="str">
        <f ca="1">IFERROR(__xludf.DUMMYFUNCTION("""COMPUTED_VALUE"""),"-")</f>
        <v>-</v>
      </c>
      <c r="T48" s="2" t="str">
        <f ca="1">IFERROR(__xludf.DUMMYFUNCTION("""COMPUTED_VALUE"""),"-")</f>
        <v>-</v>
      </c>
      <c r="U48" s="2">
        <f ca="1">IFERROR(__xludf.DUMMYFUNCTION("""COMPUTED_VALUE"""),5)</f>
        <v>5</v>
      </c>
      <c r="V48" s="2" t="str">
        <f ca="1">IFERROR(__xludf.DUMMYFUNCTION("""COMPUTED_VALUE"""),"2880, 2700, 2765, 2800, 3500")</f>
        <v>2880, 2700, 2765, 2800, 3500</v>
      </c>
      <c r="W48" s="2">
        <f ca="1">IFERROR(__xludf.DUMMYFUNCTION("""COMPUTED_VALUE"""),12)</f>
        <v>12</v>
      </c>
      <c r="X48" s="2" t="str">
        <f ca="1">IFERROR(__xludf.DUMMYFUNCTION("""COMPUTED_VALUE"""),"2880, 2760, 2765, 2730, 2970, 2840, 2870")</f>
        <v>2880, 2760, 2765, 2730, 2970, 2840, 2870</v>
      </c>
      <c r="Y48" s="2" t="str">
        <f ca="1">IFERROR(__xludf.DUMMYFUNCTION("""COMPUTED_VALUE"""),"ja")</f>
        <v>ja</v>
      </c>
      <c r="Z48" s="2"/>
      <c r="AA48" s="31"/>
      <c r="AB48" s="2" t="str">
        <f ca="1">IFERROR(__xludf.DUMMYFUNCTION("""COMPUTED_VALUE"""),"x")</f>
        <v>x</v>
      </c>
      <c r="AC48" s="2" t="str">
        <f ca="1">IFERROR(__xludf.DUMMYFUNCTION("""COMPUTED_VALUE"""),"x")</f>
        <v>x</v>
      </c>
    </row>
    <row r="49" spans="1:29" ht="12.45">
      <c r="A49" s="2" t="str">
        <f ca="1">IFERROR(__xludf.DUMMYFUNCTION("""COMPUTED_VALUE"""),"Christian")</f>
        <v>Christian</v>
      </c>
      <c r="B49" s="2" t="str">
        <f ca="1">IFERROR(__xludf.DUMMYFUNCTION("""COMPUTED_VALUE"""),"Estate Værløde-Farum")</f>
        <v>Estate Værløde-Farum</v>
      </c>
      <c r="C49" s="2">
        <f ca="1">IFERROR(__xludf.DUMMYFUNCTION("""COMPUTED_VALUE"""),39593521)</f>
        <v>39593521</v>
      </c>
      <c r="D49" s="2" t="str">
        <f ca="1">IFERROR(__xludf.DUMMYFUNCTION("""COMPUTED_VALUE"""),"MG-SJ: 3.499,-")</f>
        <v>MG-SJ: 3.499,-</v>
      </c>
      <c r="E49" s="2">
        <f ca="1">IFERROR(__xludf.DUMMYFUNCTION("""COMPUTED_VALUE"""),1202)</f>
        <v>1202</v>
      </c>
      <c r="F49" s="2" t="str">
        <f ca="1">IFERROR(__xludf.DUMMYFUNCTION("""COMPUTED_VALUE"""),"Victor Lykke Methmann")</f>
        <v>Victor Lykke Methmann</v>
      </c>
      <c r="G49" s="2" t="str">
        <f ca="1">IFERROR(__xludf.DUMMYFUNCTION("""COMPUTED_VALUE"""),"vlm@estate.dk")</f>
        <v>vlm@estate.dk</v>
      </c>
      <c r="H49" s="2"/>
      <c r="I49" s="2" t="str">
        <f ca="1">IFERROR(__xludf.DUMMYFUNCTION("""COMPUTED_VALUE"""),"Bymidten 112")</f>
        <v>Bymidten 112</v>
      </c>
      <c r="J49" s="2">
        <f ca="1">IFERROR(__xludf.DUMMYFUNCTION("""COMPUTED_VALUE"""),3500)</f>
        <v>3500</v>
      </c>
      <c r="K49" s="2" t="str">
        <f ca="1">IFERROR(__xludf.DUMMYFUNCTION("""COMPUTED_VALUE"""),"Værløse")</f>
        <v>Værløse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 t="str">
        <f ca="1">IFERROR(__xludf.DUMMYFUNCTION("""COMPUTED_VALUE"""),"ja")</f>
        <v>ja</v>
      </c>
      <c r="Z49" s="2" t="str">
        <f ca="1">IFERROR(__xludf.DUMMYFUNCTION("""COMPUTED_VALUE"""),"se ballerup-farum")</f>
        <v>se ballerup-farum</v>
      </c>
      <c r="AA49" s="25"/>
      <c r="AB49" s="2" t="str">
        <f ca="1">IFERROR(__xludf.DUMMYFUNCTION("""COMPUTED_VALUE"""),"x")</f>
        <v>x</v>
      </c>
      <c r="AC49" s="2" t="str">
        <f ca="1">IFERROR(__xludf.DUMMYFUNCTION("""COMPUTED_VALUE"""),"x")</f>
        <v>x</v>
      </c>
    </row>
    <row r="50" spans="1:29" ht="12.45">
      <c r="A50" s="2" t="str">
        <f ca="1">IFERROR(__xludf.DUMMYFUNCTION("""COMPUTED_VALUE"""),"Christian")</f>
        <v>Christian</v>
      </c>
      <c r="B50" s="2" t="str">
        <f ca="1">IFERROR(__xludf.DUMMYFUNCTION("""COMPUTED_VALUE"""),"Estate Rågeleje/tisvildeleje")</f>
        <v>Estate Rågeleje/tisvildeleje</v>
      </c>
      <c r="C50" s="2">
        <f ca="1">IFERROR(__xludf.DUMMYFUNCTION("""COMPUTED_VALUE"""),29245045)</f>
        <v>29245045</v>
      </c>
      <c r="D50" s="2" t="str">
        <f ca="1">IFERROR(__xludf.DUMMYFUNCTION("""COMPUTED_VALUE"""),"MG-SJ: 3.499,-")</f>
        <v>MG-SJ: 3.499,-</v>
      </c>
      <c r="E50" s="2">
        <f ca="1">IFERROR(__xludf.DUMMYFUNCTION("""COMPUTED_VALUE"""),1202)</f>
        <v>1202</v>
      </c>
      <c r="F50" s="2" t="str">
        <f ca="1">IFERROR(__xludf.DUMMYFUNCTION("""COMPUTED_VALUE"""),"Morten Friis")</f>
        <v>Morten Friis</v>
      </c>
      <c r="G50" s="2" t="str">
        <f ca="1">IFERROR(__xludf.DUMMYFUNCTION("""COMPUTED_VALUE"""),"frn@estate.dk")</f>
        <v>frn@estate.dk</v>
      </c>
      <c r="H50" s="2"/>
      <c r="I50" s="2" t="str">
        <f ca="1">IFERROR(__xludf.DUMMYFUNCTION("""COMPUTED_VALUE"""),"Banevej 8")</f>
        <v>Banevej 8</v>
      </c>
      <c r="J50" s="2">
        <f ca="1">IFERROR(__xludf.DUMMYFUNCTION("""COMPUTED_VALUE"""),3220)</f>
        <v>3220</v>
      </c>
      <c r="K50" s="2" t="str">
        <f ca="1">IFERROR(__xludf.DUMMYFUNCTION("""COMPUTED_VALUE"""),"Tisvildeleje")</f>
        <v>Tisvildeleje</v>
      </c>
      <c r="L50" s="2"/>
      <c r="M50" s="2"/>
      <c r="N50" s="2"/>
      <c r="O50" s="2">
        <f ca="1">IFERROR(__xludf.DUMMYFUNCTION("""COMPUTED_VALUE"""),49212223)</f>
        <v>49212223</v>
      </c>
      <c r="P50" s="27" t="str">
        <f ca="1">IFERROR(__xludf.DUMMYFUNCTION("""COMPUTED_VALUE"""),"3220@estate.dk")</f>
        <v>3220@estate.dk</v>
      </c>
      <c r="Q50" s="27" t="str">
        <f ca="1">IFERROR(__xludf.DUMMYFUNCTION("""COMPUTED_VALUE"""),"https://www.estate.dk/ejendomsmaeglere/nordsjaelland/estate-raageleje-og-tisvildeleje")</f>
        <v>https://www.estate.dk/ejendomsmaeglere/nordsjaelland/estate-raageleje-og-tisvildeleje</v>
      </c>
      <c r="R50" s="2"/>
      <c r="S50" s="2"/>
      <c r="T50" s="2"/>
      <c r="U50" s="2"/>
      <c r="V50" s="2"/>
      <c r="W50" s="2"/>
      <c r="X50" s="2"/>
      <c r="Y50" s="2" t="str">
        <f ca="1">IFERROR(__xludf.DUMMYFUNCTION("""COMPUTED_VALUE"""),"ja")</f>
        <v>ja</v>
      </c>
      <c r="Z50" s="2" t="str">
        <f ca="1">IFERROR(__xludf.DUMMYFUNCTION("""COMPUTED_VALUE"""),"se helsingør")</f>
        <v>se helsingør</v>
      </c>
      <c r="AA50" s="25"/>
      <c r="AB50" s="2" t="str">
        <f ca="1">IFERROR(__xludf.DUMMYFUNCTION("""COMPUTED_VALUE"""),"x")</f>
        <v>x</v>
      </c>
      <c r="AC50" s="2" t="str">
        <f ca="1">IFERROR(__xludf.DUMMYFUNCTION("""COMPUTED_VALUE"""),"x")</f>
        <v>x</v>
      </c>
    </row>
    <row r="51" spans="1:29" ht="12.45">
      <c r="A51" s="2" t="str">
        <f ca="1">IFERROR(__xludf.DUMMYFUNCTION("""COMPUTED_VALUE"""),"Christian")</f>
        <v>Christian</v>
      </c>
      <c r="B51" s="2" t="str">
        <f ca="1">IFERROR(__xludf.DUMMYFUNCTION("""COMPUTED_VALUE"""),"ESTATE ISLANDS BRYGGE – ELDRUP &amp; BAST")</f>
        <v>ESTATE ISLANDS BRYGGE – ELDRUP &amp; BAST</v>
      </c>
      <c r="C51" s="2">
        <f ca="1">IFERROR(__xludf.DUMMYFUNCTION("""COMPUTED_VALUE"""),37927953)</f>
        <v>37927953</v>
      </c>
      <c r="D51" s="2" t="str">
        <f ca="1">IFERROR(__xludf.DUMMYFUNCTION("""COMPUTED_VALUE"""),"MG-SJ: 3.499,-")</f>
        <v>MG-SJ: 3.499,-</v>
      </c>
      <c r="E51" s="2">
        <f ca="1">IFERROR(__xludf.DUMMYFUNCTION("""COMPUTED_VALUE"""),1202)</f>
        <v>1202</v>
      </c>
      <c r="F51" s="2" t="str">
        <f ca="1">IFERROR(__xludf.DUMMYFUNCTION("""COMPUTED_VALUE"""),"Christian Bast")</f>
        <v>Christian Bast</v>
      </c>
      <c r="G51" s="2" t="str">
        <f ca="1">IFERROR(__xludf.DUMMYFUNCTION("""COMPUTED_VALUE"""),"cbt@estate.dk")</f>
        <v>cbt@estate.dk</v>
      </c>
      <c r="H51" s="2"/>
      <c r="I51" s="2" t="str">
        <f ca="1">IFERROR(__xludf.DUMMYFUNCTION("""COMPUTED_VALUE"""),"Islands Brygge 7")</f>
        <v>Islands Brygge 7</v>
      </c>
      <c r="J51" s="2">
        <f ca="1">IFERROR(__xludf.DUMMYFUNCTION("""COMPUTED_VALUE"""),2300)</f>
        <v>2300</v>
      </c>
      <c r="K51" s="2" t="str">
        <f ca="1">IFERROR(__xludf.DUMMYFUNCTION("""COMPUTED_VALUE"""),"København SV")</f>
        <v>København SV</v>
      </c>
      <c r="L51" s="2" t="str">
        <f ca="1">IFERROR(__xludf.DUMMYFUNCTION("""COMPUTED_VALUE"""),"København")</f>
        <v>København</v>
      </c>
      <c r="M51" s="2" t="str">
        <f ca="1">IFERROR(__xludf.DUMMYFUNCTION("""COMPUTED_VALUE"""),"Københavns omegn")</f>
        <v>Københavns omegn</v>
      </c>
      <c r="N51" s="2" t="str">
        <f ca="1">IFERROR(__xludf.DUMMYFUNCTION("""COMPUTED_VALUE"""),"Hovedstaden")</f>
        <v>Hovedstaden</v>
      </c>
      <c r="O51" s="2">
        <f ca="1">IFERROR(__xludf.DUMMYFUNCTION("""COMPUTED_VALUE"""),33210004)</f>
        <v>33210004</v>
      </c>
      <c r="P51" s="27" t="str">
        <f ca="1">IFERROR(__xludf.DUMMYFUNCTION("""COMPUTED_VALUE"""),"2301@estate.dk")</f>
        <v>2301@estate.dk</v>
      </c>
      <c r="Q51" s="27" t="str">
        <f ca="1">IFERROR(__xludf.DUMMYFUNCTION("""COMPUTED_VALUE"""),"https://www.estate.dk/ejendomsmaeglere/koebenhavn/estate-islands-brygge?utm_medium=organic&amp;utm_source=google&amp;utm_campaign=gmb&amp;utm_content=983079")</f>
        <v>https://www.estate.dk/ejendomsmaeglere/koebenhavn/estate-islands-brygge?utm_medium=organic&amp;utm_source=google&amp;utm_campaign=gmb&amp;utm_content=983079</v>
      </c>
      <c r="R51" s="2"/>
      <c r="S51" s="2"/>
      <c r="T51" s="2"/>
      <c r="U51" s="2"/>
      <c r="V51" s="2"/>
      <c r="W51" s="2"/>
      <c r="X51" s="2"/>
      <c r="Y51" s="2" t="str">
        <f ca="1">IFERROR(__xludf.DUMMYFUNCTION("""COMPUTED_VALUE"""),"ja")</f>
        <v>ja</v>
      </c>
      <c r="Z51" s="2" t="str">
        <f ca="1">IFERROR(__xludf.DUMMYFUNCTION("""COMPUTED_VALUE"""),"Christian er klar - se evt nørrebro")</f>
        <v>Christian er klar - se evt nørrebro</v>
      </c>
      <c r="AA51" s="25"/>
      <c r="AB51" s="2" t="str">
        <f ca="1">IFERROR(__xludf.DUMMYFUNCTION("""COMPUTED_VALUE"""),"x")</f>
        <v>x</v>
      </c>
      <c r="AC51" s="2" t="str">
        <f ca="1">IFERROR(__xludf.DUMMYFUNCTION("""COMPUTED_VALUE"""),"x")</f>
        <v>x</v>
      </c>
    </row>
    <row r="52" spans="1:29" ht="12.45">
      <c r="A52" s="2"/>
      <c r="B52" s="2" t="str">
        <f ca="1">IFERROR(__xludf.DUMMYFUNCTION("""COMPUTED_VALUE"""),"Estate Skanderborg")</f>
        <v>Estate Skanderborg</v>
      </c>
      <c r="C52" s="2">
        <f ca="1">IFERROR(__xludf.DUMMYFUNCTION("""COMPUTED_VALUE"""),43132636)</f>
        <v>43132636</v>
      </c>
      <c r="D52" s="2" t="str">
        <f ca="1">IFERROR(__xludf.DUMMYFUNCTION("""COMPUTED_VALUE"""),"MG-SJ: 3.499,-")</f>
        <v>MG-SJ: 3.499,-</v>
      </c>
      <c r="E52" s="2">
        <f ca="1">IFERROR(__xludf.DUMMYFUNCTION("""COMPUTED_VALUE"""),1201)</f>
        <v>1201</v>
      </c>
      <c r="F52" s="2" t="str">
        <f ca="1">IFERROR(__xludf.DUMMYFUNCTION("""COMPUTED_VALUE"""),"Søren Jarl Christensen")</f>
        <v>Søren Jarl Christensen</v>
      </c>
      <c r="G52" s="2" t="str">
        <f ca="1">IFERROR(__xludf.DUMMYFUNCTION("""COMPUTED_VALUE"""),"sj6@estate.dk")</f>
        <v>sj6@estate.dk</v>
      </c>
      <c r="H52" s="2">
        <f ca="1">IFERROR(__xludf.DUMMYFUNCTION("""COMPUTED_VALUE"""),51705156)</f>
        <v>51705156</v>
      </c>
      <c r="I52" s="2" t="str">
        <f ca="1">IFERROR(__xludf.DUMMYFUNCTION("""COMPUTED_VALUE"""),"Adelgade 55, st.")</f>
        <v>Adelgade 55, st.</v>
      </c>
      <c r="J52" s="2">
        <f ca="1">IFERROR(__xludf.DUMMYFUNCTION("""COMPUTED_VALUE"""),8660)</f>
        <v>8660</v>
      </c>
      <c r="K52" s="2" t="str">
        <f ca="1">IFERROR(__xludf.DUMMYFUNCTION("""COMPUTED_VALUE"""),"Skanderborg")</f>
        <v>Skanderborg</v>
      </c>
      <c r="L52" s="2"/>
      <c r="M52" s="2"/>
      <c r="N52" s="2"/>
      <c r="O52" s="2">
        <f ca="1">IFERROR(__xludf.DUMMYFUNCTION("""COMPUTED_VALUE"""),86579810)</f>
        <v>86579810</v>
      </c>
      <c r="P52" s="2" t="str">
        <f ca="1">IFERROR(__xludf.DUMMYFUNCTION("""COMPUTED_VALUE"""),"8660@estate.dk")</f>
        <v>8660@estate.dk</v>
      </c>
      <c r="Q52" s="27" t="str">
        <f ca="1">IFERROR(__xludf.DUMMYFUNCTION("""COMPUTED_VALUE"""),"https://www.boliga.dk/maegler/29136")</f>
        <v>https://www.boliga.dk/maegler/29136</v>
      </c>
      <c r="R52" s="2"/>
      <c r="S52" s="2"/>
      <c r="T52" s="2"/>
      <c r="U52" s="2"/>
      <c r="V52" s="2"/>
      <c r="W52" s="2"/>
      <c r="X52" s="2"/>
      <c r="Y52" s="2" t="str">
        <f ca="1">IFERROR(__xludf.DUMMYFUNCTION("""COMPUTED_VALUE"""),"ja")</f>
        <v>ja</v>
      </c>
      <c r="Z52" s="2" t="str">
        <f ca="1">IFERROR(__xludf.DUMMYFUNCTION("""COMPUTED_VALUE"""),"Søren er tidligere instruktør hos Greybird og var hos nybolig jelling talt 9/8")</f>
        <v>Søren er tidligere instruktør hos Greybird og var hos nybolig jelling talt 9/8</v>
      </c>
      <c r="AA52" s="25"/>
      <c r="AB52" s="2" t="str">
        <f ca="1">IFERROR(__xludf.DUMMYFUNCTION("""COMPUTED_VALUE"""),"x")</f>
        <v>x</v>
      </c>
      <c r="AC52" s="2" t="str">
        <f ca="1">IFERROR(__xludf.DUMMYFUNCTION("""COMPUTED_VALUE"""),"x")</f>
        <v>x</v>
      </c>
    </row>
  </sheetData>
  <autoFilter ref="B1:AF2" xr:uid="{00000000-0009-0000-0000-000006000000}"/>
  <hyperlinks>
    <hyperlink ref="Q2" r:id="rId1" display="https://www.boliga.dk/maegler/440" xr:uid="{00000000-0004-0000-0600-000000000000}"/>
    <hyperlink ref="Q3" r:id="rId2" display="https://www.boliga.dk/maegler/25131" xr:uid="{00000000-0004-0000-0600-000001000000}"/>
    <hyperlink ref="Q4" r:id="rId3" display="https://www.boliga.dk/maegler/25130" xr:uid="{00000000-0004-0000-0600-000002000000}"/>
    <hyperlink ref="Q5" r:id="rId4" display="https://www.boliga.dk/maegler/22905" xr:uid="{00000000-0004-0000-0600-000003000000}"/>
    <hyperlink ref="Q6" r:id="rId5" display="https://www.boliga.dk/maegler/22828" xr:uid="{00000000-0004-0000-0600-000004000000}"/>
    <hyperlink ref="Q7" r:id="rId6" display="https://www.boliga.dk/maegler/27219" xr:uid="{00000000-0004-0000-0600-000005000000}"/>
    <hyperlink ref="Q8" r:id="rId7" display="https://www.boliga.dk/maegler/25160" xr:uid="{00000000-0004-0000-0600-000006000000}"/>
    <hyperlink ref="Q9" r:id="rId8" display="https://www.boliga.dk/maegler/25402" xr:uid="{00000000-0004-0000-0600-000007000000}"/>
    <hyperlink ref="Q10" r:id="rId9" display="https://www.boliga.dk/maegler/25174" xr:uid="{00000000-0004-0000-0600-000008000000}"/>
    <hyperlink ref="Q11" r:id="rId10" display="https://www.boliga.dk/maegler/25171" xr:uid="{00000000-0004-0000-0600-000009000000}"/>
    <hyperlink ref="Q12" r:id="rId11" display="https://www.boliga.dk/maegler/25158" xr:uid="{00000000-0004-0000-0600-00000A000000}"/>
    <hyperlink ref="Q13" r:id="rId12" display="https://www.boliga.dk/maegler/25165" xr:uid="{00000000-0004-0000-0600-00000B000000}"/>
    <hyperlink ref="Q14" r:id="rId13" display="https://www.boliga.dk/maegler/25153" xr:uid="{00000000-0004-0000-0600-00000C000000}"/>
    <hyperlink ref="Q15" r:id="rId14" display="https://www.boliga.dk/maegler/25163" xr:uid="{00000000-0004-0000-0600-00000D000000}"/>
    <hyperlink ref="Q16" r:id="rId15" display="https://www.boliga.dk/maegler/25103" xr:uid="{00000000-0004-0000-0600-00000E000000}"/>
    <hyperlink ref="Q17" r:id="rId16" display="https://www.boliga.dk/maegler/25110" xr:uid="{00000000-0004-0000-0600-00000F000000}"/>
    <hyperlink ref="Q18" r:id="rId17" display="https://www.boliga.dk/maegler/25149" xr:uid="{00000000-0004-0000-0600-000010000000}"/>
    <hyperlink ref="Q19" r:id="rId18" display="https://www.boliga.dk/maegler/25147" xr:uid="{00000000-0004-0000-0600-000011000000}"/>
    <hyperlink ref="Q20" r:id="rId19" display="https://www.boliga.dk/maegler/25617" xr:uid="{00000000-0004-0000-0600-000012000000}"/>
    <hyperlink ref="Q21" r:id="rId20" display="https://www.boliga.dk/maegler/25150" xr:uid="{00000000-0004-0000-0600-000013000000}"/>
    <hyperlink ref="Q22" r:id="rId21" display="https://www.boliga.dk/maegler/25429" xr:uid="{00000000-0004-0000-0600-000014000000}"/>
    <hyperlink ref="Q23" r:id="rId22" display="https://www.boliga.dk/maegler/25152" xr:uid="{00000000-0004-0000-0600-000015000000}"/>
    <hyperlink ref="Q24" r:id="rId23" display="https://www.boliga.dk/maegler/25113" xr:uid="{00000000-0004-0000-0600-000016000000}"/>
    <hyperlink ref="Q25" r:id="rId24" display="https://www.boliga.dk/maegler/25114" xr:uid="{00000000-0004-0000-0600-000017000000}"/>
    <hyperlink ref="Q26" r:id="rId25" display="https://www.boliga.dk/maegler/23843" xr:uid="{00000000-0004-0000-0600-000018000000}"/>
    <hyperlink ref="Q27" r:id="rId26" display="https://www.boliga.dk/maegler/25112" xr:uid="{00000000-0004-0000-0600-000019000000}"/>
    <hyperlink ref="Q28" r:id="rId27" display="https://www.boliga.dk/maegler/25065" xr:uid="{00000000-0004-0000-0600-00001A000000}"/>
    <hyperlink ref="Q29" r:id="rId28" display="https://www.boliga.dk/maegler/27106" xr:uid="{00000000-0004-0000-0600-00001B000000}"/>
    <hyperlink ref="Q30" r:id="rId29" display="https://www.boliga.dk/maegler/27067" xr:uid="{00000000-0004-0000-0600-00001C000000}"/>
    <hyperlink ref="Q31" r:id="rId30" display="https://www.boliga.dk/maegler/25117" xr:uid="{00000000-0004-0000-0600-00001D000000}"/>
    <hyperlink ref="Q32" r:id="rId31" display="https://www.boliga.dk/maegler/27539" xr:uid="{00000000-0004-0000-0600-00001E000000}"/>
    <hyperlink ref="Q33" r:id="rId32" display="https://www.boliga.dk/maegler/26646" xr:uid="{00000000-0004-0000-0600-00001F000000}"/>
    <hyperlink ref="Q34" r:id="rId33" display="https://www.boliga.dk/maegler/25100" xr:uid="{00000000-0004-0000-0600-000020000000}"/>
    <hyperlink ref="Q35" r:id="rId34" display="https://www.boliga.dk/maegler/25124" xr:uid="{00000000-0004-0000-0600-000021000000}"/>
    <hyperlink ref="Q36" r:id="rId35" display="https://www.boliga.dk/maegler/25109" xr:uid="{00000000-0004-0000-0600-000022000000}"/>
    <hyperlink ref="Q37" r:id="rId36" display="https://www.boliga.dk/maegler/26949" xr:uid="{00000000-0004-0000-0600-000023000000}"/>
    <hyperlink ref="Q38" r:id="rId37" display="https://www.boliga.dk/maegler/28450" xr:uid="{00000000-0004-0000-0600-000024000000}"/>
    <hyperlink ref="Q39" r:id="rId38" display="https://www.boliga.dk/maegler/25167" xr:uid="{00000000-0004-0000-0600-000025000000}"/>
    <hyperlink ref="Q40" r:id="rId39" display="https://www.boliga.dk/maegler/25164" xr:uid="{00000000-0004-0000-0600-000026000000}"/>
    <hyperlink ref="Q41" r:id="rId40" display="https://www.boliga.dk/maegler/27105" xr:uid="{00000000-0004-0000-0600-000027000000}"/>
    <hyperlink ref="Q42" r:id="rId41" display="https://www.boliga.dk/maegler/25123" xr:uid="{00000000-0004-0000-0600-000028000000}"/>
    <hyperlink ref="Q43" r:id="rId42" display="https://www.boliga.dk/maegler/27104" xr:uid="{00000000-0004-0000-0600-000029000000}"/>
    <hyperlink ref="Q44" r:id="rId43" display="https://www.boliga.dk/maegler/28996" xr:uid="{00000000-0004-0000-0600-00002A000000}"/>
    <hyperlink ref="Q45" r:id="rId44" display="https://www.boliga.dk/maegler/29000" xr:uid="{00000000-0004-0000-0600-00002B000000}"/>
    <hyperlink ref="Q46" r:id="rId45" display="https://www.boliga.dk/maegler/26679" xr:uid="{00000000-0004-0000-0600-00002C000000}"/>
    <hyperlink ref="Q47" r:id="rId46" display="https://www.boliga.dk/maegler/25267" xr:uid="{00000000-0004-0000-0600-00002D000000}"/>
    <hyperlink ref="Q48" r:id="rId47" display="https://www.boliga.dk/maegler/24710" xr:uid="{00000000-0004-0000-0600-00002E000000}"/>
    <hyperlink ref="P50" r:id="rId48" display="mailto:3220@estate.dk" xr:uid="{00000000-0004-0000-0600-00002F000000}"/>
    <hyperlink ref="Q50" r:id="rId49" display="https://www.estate.dk/ejendomsmaeglere/nordsjaelland/estate-raageleje-og-tisvildeleje" xr:uid="{00000000-0004-0000-0600-000030000000}"/>
    <hyperlink ref="P51" r:id="rId50" display="mailto:2301@estate.dk" xr:uid="{00000000-0004-0000-0600-000031000000}"/>
    <hyperlink ref="Q51" r:id="rId51" display="https://www.estate.dk/ejendomsmaeglere/koebenhavn/estate-islands-brygge?utm_medium=organic&amp;utm_source=google&amp;utm_campaign=gmb&amp;utm_content=983079" xr:uid="{00000000-0004-0000-0600-000032000000}"/>
    <hyperlink ref="Q52" r:id="rId52" display="https://www.boliga.dk/maegler/29136" xr:uid="{00000000-0004-0000-0600-000033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G54"/>
  <sheetViews>
    <sheetView workbookViewId="0">
      <selection sqref="A1:XFD1"/>
    </sheetView>
  </sheetViews>
  <sheetFormatPr defaultColWidth="12.61328125" defaultRowHeight="15.75" customHeight="1"/>
  <cols>
    <col min="2" max="2" width="53.4609375" customWidth="1"/>
    <col min="7" max="7" width="19" customWidth="1"/>
    <col min="22" max="22" width="25.15234375" customWidth="1"/>
  </cols>
  <sheetData>
    <row r="1" spans="1:33" ht="15.75" customHeight="1">
      <c r="A1" s="16" t="s">
        <v>11</v>
      </c>
      <c r="B1" s="16" t="s">
        <v>12</v>
      </c>
      <c r="C1" s="17" t="s">
        <v>13</v>
      </c>
      <c r="D1" s="17" t="s">
        <v>14</v>
      </c>
      <c r="E1" s="18" t="s">
        <v>15</v>
      </c>
      <c r="F1" s="18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21</v>
      </c>
      <c r="L1" s="16" t="s">
        <v>22</v>
      </c>
      <c r="M1" s="16" t="s">
        <v>23</v>
      </c>
      <c r="N1" s="16" t="s">
        <v>24</v>
      </c>
      <c r="O1" s="19" t="s">
        <v>25</v>
      </c>
      <c r="P1" s="16" t="s">
        <v>26</v>
      </c>
      <c r="Q1" s="16" t="s">
        <v>27</v>
      </c>
      <c r="R1" s="16" t="s">
        <v>28</v>
      </c>
      <c r="S1" s="16" t="s">
        <v>29</v>
      </c>
      <c r="T1" s="16" t="s">
        <v>30</v>
      </c>
      <c r="U1" s="16" t="s">
        <v>31</v>
      </c>
      <c r="V1" s="19" t="s">
        <v>32</v>
      </c>
      <c r="W1" s="16" t="s">
        <v>33</v>
      </c>
      <c r="X1" s="20" t="s">
        <v>34</v>
      </c>
      <c r="Y1" s="21" t="s">
        <v>35</v>
      </c>
      <c r="Z1" s="22" t="s">
        <v>36</v>
      </c>
      <c r="AA1" s="21" t="s">
        <v>37</v>
      </c>
      <c r="AB1" s="23" t="s">
        <v>38</v>
      </c>
      <c r="AC1" s="23" t="s">
        <v>39</v>
      </c>
      <c r="AD1" s="24" t="s">
        <v>40</v>
      </c>
      <c r="AE1" s="24" t="s">
        <v>36</v>
      </c>
      <c r="AF1" s="24"/>
      <c r="AG1" s="24"/>
    </row>
    <row r="2" spans="1:33" ht="15.75" customHeight="1">
      <c r="A2" s="2" t="str">
        <f ca="1">IFERROR(__xludf.DUMMYFUNCTION("FILTER(Nybolig!A2:AC160,Nybolig!Y2:Y160=""Ja"")"),"Christian")</f>
        <v>Christian</v>
      </c>
      <c r="B2" s="2" t="str">
        <f ca="1">IFERROR(__xludf.DUMMYFUNCTION("""COMPUTED_VALUE"""),"Nybolig København K - Munch &amp; Bjerregaard")</f>
        <v>Nybolig København K - Munch &amp; Bjerregaard</v>
      </c>
      <c r="C2" s="2">
        <f ca="1">IFERROR(__xludf.DUMMYFUNCTION("""COMPUTED_VALUE"""),42523488)</f>
        <v>42523488</v>
      </c>
      <c r="D2" s="2" t="str">
        <f ca="1">IFERROR(__xludf.DUMMYFUNCTION("""COMPUTED_VALUE"""),"MG-SJ: 3.499,-")</f>
        <v>MG-SJ: 3.499,-</v>
      </c>
      <c r="E2" s="2">
        <f ca="1">IFERROR(__xludf.DUMMYFUNCTION("""COMPUTED_VALUE"""),1202)</f>
        <v>1202</v>
      </c>
      <c r="F2" s="2" t="str">
        <f ca="1">IFERROR(__xludf.DUMMYFUNCTION("""COMPUTED_VALUE"""),"Jan Thomsen")</f>
        <v>Jan Thomsen</v>
      </c>
      <c r="G2" s="2" t="str">
        <f ca="1">IFERROR(__xludf.DUMMYFUNCTION("""COMPUTED_VALUE"""),"jt4@nybolig.dk")</f>
        <v>jt4@nybolig.dk</v>
      </c>
      <c r="H2" s="2"/>
      <c r="I2" s="2" t="str">
        <f ca="1">IFERROR(__xludf.DUMMYFUNCTION("""COMPUTED_VALUE"""),"Torvegade 27")</f>
        <v>Torvegade 27</v>
      </c>
      <c r="J2" s="2">
        <f ca="1">IFERROR(__xludf.DUMMYFUNCTION("""COMPUTED_VALUE"""),1400)</f>
        <v>1400</v>
      </c>
      <c r="K2" s="2" t="str">
        <f ca="1">IFERROR(__xludf.DUMMYFUNCTION("""COMPUTED_VALUE"""),"København K")</f>
        <v>København K</v>
      </c>
      <c r="L2" s="2" t="str">
        <f ca="1">IFERROR(__xludf.DUMMYFUNCTION("""COMPUTED_VALUE"""),"København")</f>
        <v>København</v>
      </c>
      <c r="M2" s="2" t="str">
        <f ca="1">IFERROR(__xludf.DUMMYFUNCTION("""COMPUTED_VALUE"""),"København By")</f>
        <v>København By</v>
      </c>
      <c r="N2" s="2" t="str">
        <f ca="1">IFERROR(__xludf.DUMMYFUNCTION("""COMPUTED_VALUE"""),"Hovedstaden")</f>
        <v>Hovedstaden</v>
      </c>
      <c r="O2" s="2">
        <f ca="1">IFERROR(__xludf.DUMMYFUNCTION("""COMPUTED_VALUE"""),35877000)</f>
        <v>35877000</v>
      </c>
      <c r="P2" s="2" t="str">
        <f ca="1">IFERROR(__xludf.DUMMYFUNCTION("""COMPUTED_VALUE"""),"1400@nybolig.dk")</f>
        <v>1400@nybolig.dk</v>
      </c>
      <c r="Q2" s="27" t="str">
        <f ca="1">IFERROR(__xludf.DUMMYFUNCTION("""COMPUTED_VALUE"""),"https://www.boliga.dk/maegler/17489")</f>
        <v>https://www.boliga.dk/maegler/17489</v>
      </c>
      <c r="R2" s="2" t="str">
        <f ca="1">IFERROR(__xludf.DUMMYFUNCTION("""COMPUTED_VALUE"""),"-")</f>
        <v>-</v>
      </c>
      <c r="S2" s="2" t="str">
        <f ca="1">IFERROR(__xludf.DUMMYFUNCTION("""COMPUTED_VALUE"""),"-")</f>
        <v>-</v>
      </c>
      <c r="T2" s="2" t="str">
        <f ca="1">IFERROR(__xludf.DUMMYFUNCTION("""COMPUTED_VALUE"""),"-")</f>
        <v>-</v>
      </c>
      <c r="U2" s="2">
        <f ca="1">IFERROR(__xludf.DUMMYFUNCTION("""COMPUTED_VALUE"""),18)</f>
        <v>18</v>
      </c>
      <c r="V2" s="2" t="str">
        <f ca="1">IFERROR(__xludf.DUMMYFUNCTION("""COMPUTED_VALUE"""),"1264, 1071, 1300, 1205, 1415, 1308, 1425, 1302, 1420, 1206, 2150, 1432, 1423, 1408, 2500, 1422, 1429, 2100")</f>
        <v>1264, 1071, 1300, 1205, 1415, 1308, 1425, 1302, 1420, 1206, 2150, 1432, 1423, 1408, 2500, 1422, 1429, 2100</v>
      </c>
      <c r="W2" s="2">
        <f ca="1">IFERROR(__xludf.DUMMYFUNCTION("""COMPUTED_VALUE"""),21)</f>
        <v>21</v>
      </c>
      <c r="X2" s="2" t="str">
        <f ca="1">IFERROR(__xludf.DUMMYFUNCTION("""COMPUTED_VALUE"""),"1052, 1153, 1264, 1161, 1415, 1123, 1428, 1208, 1429, 1418, 1402, 1154, 1400, 1427, 1430, 1472, 2100")</f>
        <v>1052, 1153, 1264, 1161, 1415, 1123, 1428, 1208, 1429, 1418, 1402, 1154, 1400, 1427, 1430, 1472, 2100</v>
      </c>
      <c r="Y2" s="2" t="str">
        <f ca="1">IFERROR(__xludf.DUMMYFUNCTION("""COMPUTED_VALUE"""),"ja")</f>
        <v>ja</v>
      </c>
      <c r="Z2" s="2" t="str">
        <f ca="1">IFERROR(__xludf.DUMMYFUNCTION("""COMPUTED_VALUE"""),"jan er int. skal lige cleares")</f>
        <v>jan er int. skal lige cleares</v>
      </c>
      <c r="AA2" s="2"/>
      <c r="AB2" s="2" t="str">
        <f ca="1">IFERROR(__xludf.DUMMYFUNCTION("""COMPUTED_VALUE"""),"x")</f>
        <v>x</v>
      </c>
      <c r="AC2" s="2" t="str">
        <f ca="1">IFERROR(__xludf.DUMMYFUNCTION("""COMPUTED_VALUE"""),"x")</f>
        <v>x</v>
      </c>
    </row>
    <row r="3" spans="1:33" ht="15.75" customHeight="1">
      <c r="A3" s="2" t="str">
        <f ca="1">IFERROR(__xludf.DUMMYFUNCTION("""COMPUTED_VALUE"""),"Christian")</f>
        <v>Christian</v>
      </c>
      <c r="B3" s="2" t="str">
        <f ca="1">IFERROR(__xludf.DUMMYFUNCTION("""COMPUTED_VALUE"""),"Nybolig Per Vedel Koch - Vesterbro, Enghave Plads")</f>
        <v>Nybolig Per Vedel Koch - Vesterbro, Enghave Plads</v>
      </c>
      <c r="C3" s="2">
        <f ca="1">IFERROR(__xludf.DUMMYFUNCTION("""COMPUTED_VALUE"""),34130213)</f>
        <v>34130213</v>
      </c>
      <c r="D3" s="2" t="str">
        <f ca="1">IFERROR(__xludf.DUMMYFUNCTION("""COMPUTED_VALUE"""),"MG-SJ: 3.499,-")</f>
        <v>MG-SJ: 3.499,-</v>
      </c>
      <c r="E3" s="2">
        <f ca="1">IFERROR(__xludf.DUMMYFUNCTION("""COMPUTED_VALUE"""),1202)</f>
        <v>1202</v>
      </c>
      <c r="F3" s="2" t="str">
        <f ca="1">IFERROR(__xludf.DUMMYFUNCTION("""COMPUTED_VALUE"""),"Mads Liisberg")</f>
        <v>Mads Liisberg</v>
      </c>
      <c r="G3" s="2" t="str">
        <f ca="1">IFERROR(__xludf.DUMMYFUNCTION("""COMPUTED_VALUE"""),"ml6@nybolig.dk")</f>
        <v>ml6@nybolig.dk</v>
      </c>
      <c r="H3" s="2"/>
      <c r="I3" s="2" t="str">
        <f ca="1">IFERROR(__xludf.DUMMYFUNCTION("""COMPUTED_VALUE"""),"Enghave Plads 14")</f>
        <v>Enghave Plads 14</v>
      </c>
      <c r="J3" s="2">
        <f ca="1">IFERROR(__xludf.DUMMYFUNCTION("""COMPUTED_VALUE"""),1670)</f>
        <v>1670</v>
      </c>
      <c r="K3" s="2" t="str">
        <f ca="1">IFERROR(__xludf.DUMMYFUNCTION("""COMPUTED_VALUE"""),"København V")</f>
        <v>København V</v>
      </c>
      <c r="L3" s="2" t="str">
        <f ca="1">IFERROR(__xludf.DUMMYFUNCTION("""COMPUTED_VALUE"""),"København")</f>
        <v>København</v>
      </c>
      <c r="M3" s="2" t="str">
        <f ca="1">IFERROR(__xludf.DUMMYFUNCTION("""COMPUTED_VALUE"""),"København By")</f>
        <v>København By</v>
      </c>
      <c r="N3" s="2" t="str">
        <f ca="1">IFERROR(__xludf.DUMMYFUNCTION("""COMPUTED_VALUE"""),"Hovedstaden")</f>
        <v>Hovedstaden</v>
      </c>
      <c r="O3" s="2" t="str">
        <f ca="1">IFERROR(__xludf.DUMMYFUNCTION("""COMPUTED_VALUE"""),"3388 9400")</f>
        <v>3388 9400</v>
      </c>
      <c r="P3" s="2" t="str">
        <f ca="1">IFERROR(__xludf.DUMMYFUNCTION("""COMPUTED_VALUE"""),"1670@nybolig.dk")</f>
        <v>1670@nybolig.dk</v>
      </c>
      <c r="Q3" s="27" t="str">
        <f ca="1">IFERROR(__xludf.DUMMYFUNCTION("""COMPUTED_VALUE"""),"https://www.boliga.dk/maegler/492")</f>
        <v>https://www.boliga.dk/maegler/492</v>
      </c>
      <c r="R3" s="2" t="str">
        <f ca="1">IFERROR(__xludf.DUMMYFUNCTION("""COMPUTED_VALUE"""),"-")</f>
        <v>-</v>
      </c>
      <c r="S3" s="2" t="str">
        <f ca="1">IFERROR(__xludf.DUMMYFUNCTION("""COMPUTED_VALUE"""),"-")</f>
        <v>-</v>
      </c>
      <c r="T3" s="2" t="str">
        <f ca="1">IFERROR(__xludf.DUMMYFUNCTION("""COMPUTED_VALUE"""),"-")</f>
        <v>-</v>
      </c>
      <c r="U3" s="2">
        <f ca="1">IFERROR(__xludf.DUMMYFUNCTION("""COMPUTED_VALUE"""),14)</f>
        <v>14</v>
      </c>
      <c r="V3" s="2" t="str">
        <f ca="1">IFERROR(__xludf.DUMMYFUNCTION("""COMPUTED_VALUE"""),"1676, 1632, 1674, 1727, 1601, 1720, 1651, 2300, 1718, 1671, 1726, 1771, 2100")</f>
        <v>1676, 1632, 1674, 1727, 1601, 1720, 1651, 2300, 1718, 1671, 1726, 1771, 2100</v>
      </c>
      <c r="W3" s="2">
        <f ca="1">IFERROR(__xludf.DUMMYFUNCTION("""COMPUTED_VALUE"""),21)</f>
        <v>21</v>
      </c>
      <c r="X3" s="2" t="str">
        <f ca="1">IFERROR(__xludf.DUMMYFUNCTION("""COMPUTED_VALUE"""),"1674, 1573, 1722, 1799, 2450, 1601, 1720, 1632, 1705, 1666, 2100, 1669")</f>
        <v>1674, 1573, 1722, 1799, 2450, 1601, 1720, 1632, 1705, 1666, 2100, 1669</v>
      </c>
      <c r="Y3" s="2" t="str">
        <f ca="1">IFERROR(__xludf.DUMMYFUNCTION("""COMPUTED_VALUE"""),"ja")</f>
        <v>ja</v>
      </c>
      <c r="Z3" s="2" t="str">
        <f ca="1">IFERROR(__xludf.DUMMYFUNCTION("""COMPUTED_VALUE"""),"Mads Liisberg er klar")</f>
        <v>Mads Liisberg er klar</v>
      </c>
      <c r="AA3" s="2"/>
      <c r="AB3" s="2" t="str">
        <f ca="1">IFERROR(__xludf.DUMMYFUNCTION("""COMPUTED_VALUE"""),"x")</f>
        <v>x</v>
      </c>
      <c r="AC3" s="2" t="str">
        <f ca="1">IFERROR(__xludf.DUMMYFUNCTION("""COMPUTED_VALUE"""),"x")</f>
        <v>x</v>
      </c>
    </row>
    <row r="4" spans="1:33" ht="15.75" customHeight="1">
      <c r="A4" s="2" t="str">
        <f ca="1">IFERROR(__xludf.DUMMYFUNCTION("""COMPUTED_VALUE"""),"Christian")</f>
        <v>Christian</v>
      </c>
      <c r="B4" s="2" t="str">
        <f ca="1">IFERROR(__xludf.DUMMYFUNCTION("""COMPUTED_VALUE"""),"Nybolig Jesper Hufeldt - Frederiksberg")</f>
        <v>Nybolig Jesper Hufeldt - Frederiksberg</v>
      </c>
      <c r="C4" s="2"/>
      <c r="D4" s="2" t="str">
        <f ca="1">IFERROR(__xludf.DUMMYFUNCTION("""COMPUTED_VALUE"""),"MG-SJ: 3.499,-")</f>
        <v>MG-SJ: 3.499,-</v>
      </c>
      <c r="E4" s="2">
        <f ca="1">IFERROR(__xludf.DUMMYFUNCTION("""COMPUTED_VALUE"""),1202)</f>
        <v>1202</v>
      </c>
      <c r="F4" s="2"/>
      <c r="G4" s="2"/>
      <c r="H4" s="2"/>
      <c r="I4" s="2" t="str">
        <f ca="1">IFERROR(__xludf.DUMMYFUNCTION("""COMPUTED_VALUE"""),"Godthåbsvej 19")</f>
        <v>Godthåbsvej 19</v>
      </c>
      <c r="J4" s="2">
        <f ca="1">IFERROR(__xludf.DUMMYFUNCTION("""COMPUTED_VALUE"""),2000)</f>
        <v>2000</v>
      </c>
      <c r="K4" s="2" t="str">
        <f ca="1">IFERROR(__xludf.DUMMYFUNCTION("""COMPUTED_VALUE"""),"Frederiksberg")</f>
        <v>Frederiksberg</v>
      </c>
      <c r="L4" s="2" t="str">
        <f ca="1">IFERROR(__xludf.DUMMYFUNCTION("""COMPUTED_VALUE"""),"Frederiksberg")</f>
        <v>Frederiksberg</v>
      </c>
      <c r="M4" s="2" t="str">
        <f ca="1">IFERROR(__xludf.DUMMYFUNCTION("""COMPUTED_VALUE"""),"København By")</f>
        <v>København By</v>
      </c>
      <c r="N4" s="2" t="str">
        <f ca="1">IFERROR(__xludf.DUMMYFUNCTION("""COMPUTED_VALUE"""),"Hovedstaden")</f>
        <v>Hovedstaden</v>
      </c>
      <c r="O4" s="2" t="str">
        <f ca="1">IFERROR(__xludf.DUMMYFUNCTION("""COMPUTED_VALUE"""),"3811 1010")</f>
        <v>3811 1010</v>
      </c>
      <c r="P4" s="2" t="str">
        <f ca="1">IFERROR(__xludf.DUMMYFUNCTION("""COMPUTED_VALUE"""),"2001@nybolig.dk")</f>
        <v>2001@nybolig.dk</v>
      </c>
      <c r="Q4" s="27" t="str">
        <f ca="1">IFERROR(__xludf.DUMMYFUNCTION("""COMPUTED_VALUE"""),"https://www.boliga.dk/maegler/17487")</f>
        <v>https://www.boliga.dk/maegler/17487</v>
      </c>
      <c r="R4" s="2" t="str">
        <f ca="1">IFERROR(__xludf.DUMMYFUNCTION("""COMPUTED_VALUE"""),"-")</f>
        <v>-</v>
      </c>
      <c r="S4" s="2" t="str">
        <f ca="1">IFERROR(__xludf.DUMMYFUNCTION("""COMPUTED_VALUE"""),"-")</f>
        <v>-</v>
      </c>
      <c r="T4" s="2" t="str">
        <f ca="1">IFERROR(__xludf.DUMMYFUNCTION("""COMPUTED_VALUE"""),"-")</f>
        <v>-</v>
      </c>
      <c r="U4" s="2">
        <f ca="1">IFERROR(__xludf.DUMMYFUNCTION("""COMPUTED_VALUE"""),10)</f>
        <v>10</v>
      </c>
      <c r="V4" s="2">
        <f ca="1">IFERROR(__xludf.DUMMYFUNCTION("""COMPUTED_VALUE"""),2000)</f>
        <v>2000</v>
      </c>
      <c r="W4" s="2">
        <f ca="1">IFERROR(__xludf.DUMMYFUNCTION("""COMPUTED_VALUE"""),20)</f>
        <v>20</v>
      </c>
      <c r="X4" s="2" t="str">
        <f ca="1">IFERROR(__xludf.DUMMYFUNCTION("""COMPUTED_VALUE"""),"1970, 1855, 2770, 2000, 3520")</f>
        <v>1970, 1855, 2770, 2000, 3520</v>
      </c>
      <c r="Y4" s="2" t="str">
        <f ca="1">IFERROR(__xludf.DUMMYFUNCTION("""COMPUTED_VALUE"""),"ja")</f>
        <v>ja</v>
      </c>
      <c r="Z4" s="2" t="str">
        <f ca="1">IFERROR(__xludf.DUMMYFUNCTION("""COMPUTED_VALUE"""),"han er klar - gensendt mail 15/6 - gensendt mail 9/8 han er tilbage fra ferie imorgen")</f>
        <v>han er klar - gensendt mail 15/6 - gensendt mail 9/8 han er tilbage fra ferie imorgen</v>
      </c>
      <c r="AA4" s="2"/>
      <c r="AB4" s="2" t="str">
        <f ca="1">IFERROR(__xludf.DUMMYFUNCTION("""COMPUTED_VALUE"""),"x")</f>
        <v>x</v>
      </c>
      <c r="AC4" s="2"/>
    </row>
    <row r="5" spans="1:33" ht="15.75" customHeight="1">
      <c r="A5" s="2" t="str">
        <f ca="1">IFERROR(__xludf.DUMMYFUNCTION("""COMPUTED_VALUE"""),"Christian")</f>
        <v>Christian</v>
      </c>
      <c r="B5" s="2" t="str">
        <f ca="1">IFERROR(__xludf.DUMMYFUNCTION("""COMPUTED_VALUE"""),"Nybolig Per Vedel Koch - Frederiksberg")</f>
        <v>Nybolig Per Vedel Koch - Frederiksberg</v>
      </c>
      <c r="C5" s="2">
        <f ca="1">IFERROR(__xludf.DUMMYFUNCTION("""COMPUTED_VALUE"""),34130213)</f>
        <v>34130213</v>
      </c>
      <c r="D5" s="2" t="str">
        <f ca="1">IFERROR(__xludf.DUMMYFUNCTION("""COMPUTED_VALUE"""),"MG-SJ: 3.499,-")</f>
        <v>MG-SJ: 3.499,-</v>
      </c>
      <c r="E5" s="2">
        <f ca="1">IFERROR(__xludf.DUMMYFUNCTION("""COMPUTED_VALUE"""),1202)</f>
        <v>1202</v>
      </c>
      <c r="F5" s="2" t="str">
        <f ca="1">IFERROR(__xludf.DUMMYFUNCTION("""COMPUTED_VALUE"""),"Mads Liisberg")</f>
        <v>Mads Liisberg</v>
      </c>
      <c r="G5" s="2" t="str">
        <f ca="1">IFERROR(__xludf.DUMMYFUNCTION("""COMPUTED_VALUE"""),"ml6@nybolig.dk")</f>
        <v>ml6@nybolig.dk</v>
      </c>
      <c r="H5" s="2"/>
      <c r="I5" s="2" t="str">
        <f ca="1">IFERROR(__xludf.DUMMYFUNCTION("""COMPUTED_VALUE"""),"Falkoner Allé 50")</f>
        <v>Falkoner Allé 50</v>
      </c>
      <c r="J5" s="2">
        <f ca="1">IFERROR(__xludf.DUMMYFUNCTION("""COMPUTED_VALUE"""),2000)</f>
        <v>2000</v>
      </c>
      <c r="K5" s="2" t="str">
        <f ca="1">IFERROR(__xludf.DUMMYFUNCTION("""COMPUTED_VALUE"""),"Frederiksberg")</f>
        <v>Frederiksberg</v>
      </c>
      <c r="L5" s="2" t="str">
        <f ca="1">IFERROR(__xludf.DUMMYFUNCTION("""COMPUTED_VALUE"""),"Frederiksberg")</f>
        <v>Frederiksberg</v>
      </c>
      <c r="M5" s="2" t="str">
        <f ca="1">IFERROR(__xludf.DUMMYFUNCTION("""COMPUTED_VALUE"""),"København By")</f>
        <v>København By</v>
      </c>
      <c r="N5" s="2" t="str">
        <f ca="1">IFERROR(__xludf.DUMMYFUNCTION("""COMPUTED_VALUE"""),"Hovedstaden")</f>
        <v>Hovedstaden</v>
      </c>
      <c r="O5" s="2" t="str">
        <f ca="1">IFERROR(__xludf.DUMMYFUNCTION("""COMPUTED_VALUE"""),"35 37 50 20")</f>
        <v>35 37 50 20</v>
      </c>
      <c r="P5" s="2" t="str">
        <f ca="1">IFERROR(__xludf.DUMMYFUNCTION("""COMPUTED_VALUE"""),"2000@nybolig.dk")</f>
        <v>2000@nybolig.dk</v>
      </c>
      <c r="Q5" s="27" t="str">
        <f ca="1">IFERROR(__xludf.DUMMYFUNCTION("""COMPUTED_VALUE"""),"https://www.boliga.dk/maegler/547")</f>
        <v>https://www.boliga.dk/maegler/547</v>
      </c>
      <c r="R5" s="2" t="str">
        <f ca="1">IFERROR(__xludf.DUMMYFUNCTION("""COMPUTED_VALUE"""),"-")</f>
        <v>-</v>
      </c>
      <c r="S5" s="2" t="str">
        <f ca="1">IFERROR(__xludf.DUMMYFUNCTION("""COMPUTED_VALUE"""),"-")</f>
        <v>-</v>
      </c>
      <c r="T5" s="2" t="str">
        <f ca="1">IFERROR(__xludf.DUMMYFUNCTION("""COMPUTED_VALUE"""),"-")</f>
        <v>-</v>
      </c>
      <c r="U5" s="2">
        <f ca="1">IFERROR(__xludf.DUMMYFUNCTION("""COMPUTED_VALUE"""),11)</f>
        <v>11</v>
      </c>
      <c r="V5" s="2" t="str">
        <f ca="1">IFERROR(__xludf.DUMMYFUNCTION("""COMPUTED_VALUE"""),"1860, 2000, 1874, 1800, 2920")</f>
        <v>1860, 2000, 1874, 1800, 2920</v>
      </c>
      <c r="W5" s="2">
        <f ca="1">IFERROR(__xludf.DUMMYFUNCTION("""COMPUTED_VALUE"""),22)</f>
        <v>22</v>
      </c>
      <c r="X5" s="2" t="str">
        <f ca="1">IFERROR(__xludf.DUMMYFUNCTION("""COMPUTED_VALUE"""),"1368, 1800, 1855, 2000, 1868, 2300, 2830, 2700, 2450, 2720, 2900")</f>
        <v>1368, 1800, 1855, 2000, 1868, 2300, 2830, 2700, 2450, 2720, 2900</v>
      </c>
      <c r="Y5" s="2" t="str">
        <f ca="1">IFERROR(__xludf.DUMMYFUNCTION("""COMPUTED_VALUE"""),"ja")</f>
        <v>ja</v>
      </c>
      <c r="Z5" s="2" t="str">
        <f ca="1">IFERROR(__xludf.DUMMYFUNCTION("""COMPUTED_VALUE"""),"se vesterbro")</f>
        <v>se vesterbro</v>
      </c>
      <c r="AA5" s="2"/>
      <c r="AB5" s="2" t="str">
        <f ca="1">IFERROR(__xludf.DUMMYFUNCTION("""COMPUTED_VALUE"""),"x")</f>
        <v>x</v>
      </c>
      <c r="AC5" s="2" t="str">
        <f ca="1">IFERROR(__xludf.DUMMYFUNCTION("""COMPUTED_VALUE"""),"x")</f>
        <v>x</v>
      </c>
    </row>
    <row r="6" spans="1:33" ht="15.75" customHeight="1">
      <c r="A6" s="2" t="str">
        <f ca="1">IFERROR(__xludf.DUMMYFUNCTION("""COMPUTED_VALUE"""),"Christian")</f>
        <v>Christian</v>
      </c>
      <c r="B6" s="2" t="str">
        <f ca="1">IFERROR(__xludf.DUMMYFUNCTION("""COMPUTED_VALUE"""),"Nybolig Østerbro - Thomas Boye Jensen")</f>
        <v>Nybolig Østerbro - Thomas Boye Jensen</v>
      </c>
      <c r="C6" s="2">
        <f ca="1">IFERROR(__xludf.DUMMYFUNCTION("""COMPUTED_VALUE"""),34292922)</f>
        <v>34292922</v>
      </c>
      <c r="D6" s="2" t="str">
        <f ca="1">IFERROR(__xludf.DUMMYFUNCTION("""COMPUTED_VALUE"""),"MG-SJ: 3.499,-")</f>
        <v>MG-SJ: 3.499,-</v>
      </c>
      <c r="E6" s="2">
        <f ca="1">IFERROR(__xludf.DUMMYFUNCTION("""COMPUTED_VALUE"""),1202)</f>
        <v>1202</v>
      </c>
      <c r="F6" s="2" t="str">
        <f ca="1">IFERROR(__xludf.DUMMYFUNCTION("""COMPUTED_VALUE"""),"Thomas Boye Jensen")</f>
        <v>Thomas Boye Jensen</v>
      </c>
      <c r="G6" s="2" t="str">
        <f ca="1">IFERROR(__xludf.DUMMYFUNCTION("""COMPUTED_VALUE"""),"tbj@nybolig.dk")</f>
        <v>tbj@nybolig.dk</v>
      </c>
      <c r="H6" s="2"/>
      <c r="I6" s="2" t="str">
        <f ca="1">IFERROR(__xludf.DUMMYFUNCTION("""COMPUTED_VALUE"""),"Dag Hammarskjölds Allé 34")</f>
        <v>Dag Hammarskjölds Allé 34</v>
      </c>
      <c r="J6" s="2">
        <f ca="1">IFERROR(__xludf.DUMMYFUNCTION("""COMPUTED_VALUE"""),2100)</f>
        <v>2100</v>
      </c>
      <c r="K6" s="2" t="str">
        <f ca="1">IFERROR(__xludf.DUMMYFUNCTION("""COMPUTED_VALUE"""),"København Ø")</f>
        <v>København Ø</v>
      </c>
      <c r="L6" s="2" t="str">
        <f ca="1">IFERROR(__xludf.DUMMYFUNCTION("""COMPUTED_VALUE"""),"København")</f>
        <v>København</v>
      </c>
      <c r="M6" s="2" t="str">
        <f ca="1">IFERROR(__xludf.DUMMYFUNCTION("""COMPUTED_VALUE"""),"København By")</f>
        <v>København By</v>
      </c>
      <c r="N6" s="2" t="str">
        <f ca="1">IFERROR(__xludf.DUMMYFUNCTION("""COMPUTED_VALUE"""),"Hovedstaden")</f>
        <v>Hovedstaden</v>
      </c>
      <c r="O6" s="2" t="str">
        <f ca="1">IFERROR(__xludf.DUMMYFUNCTION("""COMPUTED_VALUE"""),"4848 2100")</f>
        <v>4848 2100</v>
      </c>
      <c r="P6" s="2" t="str">
        <f ca="1">IFERROR(__xludf.DUMMYFUNCTION("""COMPUTED_VALUE"""),"2102@nybolig.dk")</f>
        <v>2102@nybolig.dk</v>
      </c>
      <c r="Q6" s="27" t="str">
        <f ca="1">IFERROR(__xludf.DUMMYFUNCTION("""COMPUTED_VALUE"""),"https://www.boliga.dk/maegler/432")</f>
        <v>https://www.boliga.dk/maegler/432</v>
      </c>
      <c r="R6" s="2" t="str">
        <f ca="1">IFERROR(__xludf.DUMMYFUNCTION("""COMPUTED_VALUE"""),"-")</f>
        <v>-</v>
      </c>
      <c r="S6" s="2" t="str">
        <f ca="1">IFERROR(__xludf.DUMMYFUNCTION("""COMPUTED_VALUE"""),"-")</f>
        <v>-</v>
      </c>
      <c r="T6" s="2" t="str">
        <f ca="1">IFERROR(__xludf.DUMMYFUNCTION("""COMPUTED_VALUE"""),"-")</f>
        <v>-</v>
      </c>
      <c r="U6" s="2">
        <f ca="1">IFERROR(__xludf.DUMMYFUNCTION("""COMPUTED_VALUE"""),13)</f>
        <v>13</v>
      </c>
      <c r="V6" s="2" t="str">
        <f ca="1">IFERROR(__xludf.DUMMYFUNCTION("""COMPUTED_VALUE"""),"2100, 1307, 1052, 2150")</f>
        <v>2100, 1307, 1052, 2150</v>
      </c>
      <c r="W6" s="2">
        <f ca="1">IFERROR(__xludf.DUMMYFUNCTION("""COMPUTED_VALUE"""),32)</f>
        <v>32</v>
      </c>
      <c r="X6" s="2" t="str">
        <f ca="1">IFERROR(__xludf.DUMMYFUNCTION("""COMPUTED_VALUE"""),"2000, 2450, 2200, 2100, 2800, 2150, 2730")</f>
        <v>2000, 2450, 2200, 2100, 2800, 2150, 2730</v>
      </c>
      <c r="Y6" s="2" t="str">
        <f ca="1">IFERROR(__xludf.DUMMYFUNCTION("""COMPUTED_VALUE"""),"ja")</f>
        <v>ja</v>
      </c>
      <c r="Z6" s="2" t="str">
        <f ca="1">IFERROR(__xludf.DUMMYFUNCTION("""COMPUTED_VALUE"""),"han syntes det lyder spændende")</f>
        <v>han syntes det lyder spændende</v>
      </c>
      <c r="AA6" s="2"/>
      <c r="AB6" s="2" t="str">
        <f ca="1">IFERROR(__xludf.DUMMYFUNCTION("""COMPUTED_VALUE"""),"x")</f>
        <v>x</v>
      </c>
      <c r="AC6" s="2" t="str">
        <f ca="1">IFERROR(__xludf.DUMMYFUNCTION("""COMPUTED_VALUE"""),"x")</f>
        <v>x</v>
      </c>
    </row>
    <row r="7" spans="1:33" ht="15.75" customHeight="1">
      <c r="A7" s="2" t="str">
        <f ca="1">IFERROR(__xludf.DUMMYFUNCTION("""COMPUTED_VALUE"""),"Christian")</f>
        <v>Christian</v>
      </c>
      <c r="B7" s="2" t="str">
        <f ca="1">IFERROR(__xludf.DUMMYFUNCTION("""COMPUTED_VALUE"""),"Nybolig Østerbrogade - Thomas Boye Jensen")</f>
        <v>Nybolig Østerbrogade - Thomas Boye Jensen</v>
      </c>
      <c r="C7" s="2">
        <f ca="1">IFERROR(__xludf.DUMMYFUNCTION("""COMPUTED_VALUE"""),34292922)</f>
        <v>34292922</v>
      </c>
      <c r="D7" s="2" t="str">
        <f ca="1">IFERROR(__xludf.DUMMYFUNCTION("""COMPUTED_VALUE"""),"MG-SJ: 3.499,-")</f>
        <v>MG-SJ: 3.499,-</v>
      </c>
      <c r="E7" s="2">
        <f ca="1">IFERROR(__xludf.DUMMYFUNCTION("""COMPUTED_VALUE"""),1202)</f>
        <v>1202</v>
      </c>
      <c r="F7" s="2" t="str">
        <f ca="1">IFERROR(__xludf.DUMMYFUNCTION("""COMPUTED_VALUE"""),"Thomas Boye Jensen")</f>
        <v>Thomas Boye Jensen</v>
      </c>
      <c r="G7" s="2" t="str">
        <f ca="1">IFERROR(__xludf.DUMMYFUNCTION("""COMPUTED_VALUE"""),"tbj@nybolig.dk")</f>
        <v>tbj@nybolig.dk</v>
      </c>
      <c r="H7" s="2"/>
      <c r="I7" s="2" t="str">
        <f ca="1">IFERROR(__xludf.DUMMYFUNCTION("""COMPUTED_VALUE"""),"Østerbrogade 102")</f>
        <v>Østerbrogade 102</v>
      </c>
      <c r="J7" s="2">
        <f ca="1">IFERROR(__xludf.DUMMYFUNCTION("""COMPUTED_VALUE"""),2100)</f>
        <v>2100</v>
      </c>
      <c r="K7" s="2" t="str">
        <f ca="1">IFERROR(__xludf.DUMMYFUNCTION("""COMPUTED_VALUE"""),"København Ø")</f>
        <v>København Ø</v>
      </c>
      <c r="L7" s="2" t="str">
        <f ca="1">IFERROR(__xludf.DUMMYFUNCTION("""COMPUTED_VALUE"""),"København")</f>
        <v>København</v>
      </c>
      <c r="M7" s="2" t="str">
        <f ca="1">IFERROR(__xludf.DUMMYFUNCTION("""COMPUTED_VALUE"""),"København By")</f>
        <v>København By</v>
      </c>
      <c r="N7" s="2" t="str">
        <f ca="1">IFERROR(__xludf.DUMMYFUNCTION("""COMPUTED_VALUE"""),"Hovedstaden")</f>
        <v>Hovedstaden</v>
      </c>
      <c r="O7" s="2" t="str">
        <f ca="1">IFERROR(__xludf.DUMMYFUNCTION("""COMPUTED_VALUE"""),"3525 4500")</f>
        <v>3525 4500</v>
      </c>
      <c r="P7" s="2" t="str">
        <f ca="1">IFERROR(__xludf.DUMMYFUNCTION("""COMPUTED_VALUE"""),"2101@nybolig.dk")</f>
        <v>2101@nybolig.dk</v>
      </c>
      <c r="Q7" s="27" t="str">
        <f ca="1">IFERROR(__xludf.DUMMYFUNCTION("""COMPUTED_VALUE"""),"https://www.boliga.dk/maegler/1017")</f>
        <v>https://www.boliga.dk/maegler/1017</v>
      </c>
      <c r="R7" s="2" t="str">
        <f ca="1">IFERROR(__xludf.DUMMYFUNCTION("""COMPUTED_VALUE"""),"-")</f>
        <v>-</v>
      </c>
      <c r="S7" s="2" t="str">
        <f ca="1">IFERROR(__xludf.DUMMYFUNCTION("""COMPUTED_VALUE"""),"-")</f>
        <v>-</v>
      </c>
      <c r="T7" s="2" t="str">
        <f ca="1">IFERROR(__xludf.DUMMYFUNCTION("""COMPUTED_VALUE"""),"-")</f>
        <v>-</v>
      </c>
      <c r="U7" s="2">
        <f ca="1">IFERROR(__xludf.DUMMYFUNCTION("""COMPUTED_VALUE"""),10)</f>
        <v>10</v>
      </c>
      <c r="V7" s="2">
        <f ca="1">IFERROR(__xludf.DUMMYFUNCTION("""COMPUTED_VALUE"""),2100)</f>
        <v>2100</v>
      </c>
      <c r="W7" s="2">
        <f ca="1">IFERROR(__xludf.DUMMYFUNCTION("""COMPUTED_VALUE"""),14)</f>
        <v>14</v>
      </c>
      <c r="X7" s="2" t="str">
        <f ca="1">IFERROR(__xludf.DUMMYFUNCTION("""COMPUTED_VALUE"""),"1302, 2100, 2150")</f>
        <v>1302, 2100, 2150</v>
      </c>
      <c r="Y7" s="2" t="str">
        <f ca="1">IFERROR(__xludf.DUMMYFUNCTION("""COMPUTED_VALUE"""),"ja")</f>
        <v>ja</v>
      </c>
      <c r="Z7" s="2" t="str">
        <f ca="1">IFERROR(__xludf.DUMMYFUNCTION("""COMPUTED_VALUE"""),"se østerbro")</f>
        <v>se østerbro</v>
      </c>
      <c r="AA7" s="2"/>
      <c r="AB7" s="2" t="str">
        <f ca="1">IFERROR(__xludf.DUMMYFUNCTION("""COMPUTED_VALUE"""),"x")</f>
        <v>x</v>
      </c>
      <c r="AC7" s="2" t="str">
        <f ca="1">IFERROR(__xludf.DUMMYFUNCTION("""COMPUTED_VALUE"""),"x")</f>
        <v>x</v>
      </c>
    </row>
    <row r="8" spans="1:33" ht="15.75" customHeight="1">
      <c r="A8" s="2" t="str">
        <f ca="1">IFERROR(__xludf.DUMMYFUNCTION("""COMPUTED_VALUE"""),"Christian")</f>
        <v>Christian</v>
      </c>
      <c r="B8" s="2" t="str">
        <f ca="1">IFERROR(__xludf.DUMMYFUNCTION("""COMPUTED_VALUE"""),"Nybolig Svanemøllen Thomas Boye Jensen")</f>
        <v>Nybolig Svanemøllen Thomas Boye Jensen</v>
      </c>
      <c r="C8" s="2">
        <f ca="1">IFERROR(__xludf.DUMMYFUNCTION("""COMPUTED_VALUE"""),34292922)</f>
        <v>34292922</v>
      </c>
      <c r="D8" s="2" t="str">
        <f ca="1">IFERROR(__xludf.DUMMYFUNCTION("""COMPUTED_VALUE"""),"MG-SJ: 3.499,-")</f>
        <v>MG-SJ: 3.499,-</v>
      </c>
      <c r="E8" s="2">
        <f ca="1">IFERROR(__xludf.DUMMYFUNCTION("""COMPUTED_VALUE"""),1202)</f>
        <v>1202</v>
      </c>
      <c r="F8" s="2" t="str">
        <f ca="1">IFERROR(__xludf.DUMMYFUNCTION("""COMPUTED_VALUE"""),"Thomas Boye Jensen")</f>
        <v>Thomas Boye Jensen</v>
      </c>
      <c r="G8" s="2" t="str">
        <f ca="1">IFERROR(__xludf.DUMMYFUNCTION("""COMPUTED_VALUE"""),"tbj@nybolig.dk")</f>
        <v>tbj@nybolig.dk</v>
      </c>
      <c r="H8" s="2"/>
      <c r="I8" s="2" t="str">
        <f ca="1">IFERROR(__xludf.DUMMYFUNCTION("""COMPUTED_VALUE"""),"Nygårdsvej 52")</f>
        <v>Nygårdsvej 52</v>
      </c>
      <c r="J8" s="2">
        <f ca="1">IFERROR(__xludf.DUMMYFUNCTION("""COMPUTED_VALUE"""),2100)</f>
        <v>2100</v>
      </c>
      <c r="K8" s="2" t="str">
        <f ca="1">IFERROR(__xludf.DUMMYFUNCTION("""COMPUTED_VALUE"""),"København Ø")</f>
        <v>København Ø</v>
      </c>
      <c r="L8" s="2" t="str">
        <f ca="1">IFERROR(__xludf.DUMMYFUNCTION("""COMPUTED_VALUE"""),"København")</f>
        <v>København</v>
      </c>
      <c r="M8" s="2" t="str">
        <f ca="1">IFERROR(__xludf.DUMMYFUNCTION("""COMPUTED_VALUE"""),"København By")</f>
        <v>København By</v>
      </c>
      <c r="N8" s="2" t="str">
        <f ca="1">IFERROR(__xludf.DUMMYFUNCTION("""COMPUTED_VALUE"""),"Hovedstaden")</f>
        <v>Hovedstaden</v>
      </c>
      <c r="O8" s="2" t="str">
        <f ca="1">IFERROR(__xludf.DUMMYFUNCTION("""COMPUTED_VALUE"""),"3527 2100")</f>
        <v>3527 2100</v>
      </c>
      <c r="P8" s="2" t="str">
        <f ca="1">IFERROR(__xludf.DUMMYFUNCTION("""COMPUTED_VALUE"""),"2103@nybolig.dk")</f>
        <v>2103@nybolig.dk</v>
      </c>
      <c r="Q8" s="27" t="str">
        <f ca="1">IFERROR(__xludf.DUMMYFUNCTION("""COMPUTED_VALUE"""),"https://www.boliga.dk/maegler/21845")</f>
        <v>https://www.boliga.dk/maegler/21845</v>
      </c>
      <c r="R8" s="2" t="str">
        <f ca="1">IFERROR(__xludf.DUMMYFUNCTION("""COMPUTED_VALUE"""),"-")</f>
        <v>-</v>
      </c>
      <c r="S8" s="2" t="str">
        <f ca="1">IFERROR(__xludf.DUMMYFUNCTION("""COMPUTED_VALUE"""),"-")</f>
        <v>-</v>
      </c>
      <c r="T8" s="2" t="str">
        <f ca="1">IFERROR(__xludf.DUMMYFUNCTION("""COMPUTED_VALUE"""),"-")</f>
        <v>-</v>
      </c>
      <c r="U8" s="2">
        <f ca="1">IFERROR(__xludf.DUMMYFUNCTION("""COMPUTED_VALUE"""),15)</f>
        <v>15</v>
      </c>
      <c r="V8" s="2">
        <f ca="1">IFERROR(__xludf.DUMMYFUNCTION("""COMPUTED_VALUE"""),2100)</f>
        <v>2100</v>
      </c>
      <c r="W8" s="2">
        <f ca="1">IFERROR(__xludf.DUMMYFUNCTION("""COMPUTED_VALUE"""),17)</f>
        <v>17</v>
      </c>
      <c r="X8" s="2" t="str">
        <f ca="1">IFERROR(__xludf.DUMMYFUNCTION("""COMPUTED_VALUE"""),"2100, 2800, 2000, 2650")</f>
        <v>2100, 2800, 2000, 2650</v>
      </c>
      <c r="Y8" s="2" t="str">
        <f ca="1">IFERROR(__xludf.DUMMYFUNCTION("""COMPUTED_VALUE"""),"ja")</f>
        <v>ja</v>
      </c>
      <c r="Z8" s="2" t="str">
        <f ca="1">IFERROR(__xludf.DUMMYFUNCTION("""COMPUTED_VALUE"""),"se østerbro")</f>
        <v>se østerbro</v>
      </c>
      <c r="AA8" s="2"/>
      <c r="AB8" s="2" t="str">
        <f ca="1">IFERROR(__xludf.DUMMYFUNCTION("""COMPUTED_VALUE"""),"x")</f>
        <v>x</v>
      </c>
      <c r="AC8" s="2" t="str">
        <f ca="1">IFERROR(__xludf.DUMMYFUNCTION("""COMPUTED_VALUE"""),"x")</f>
        <v>x</v>
      </c>
    </row>
    <row r="9" spans="1:33" ht="15.75" customHeight="1">
      <c r="A9" s="2" t="str">
        <f ca="1">IFERROR(__xludf.DUMMYFUNCTION("""COMPUTED_VALUE"""),"Christian")</f>
        <v>Christian</v>
      </c>
      <c r="B9" s="2" t="str">
        <f ca="1">IFERROR(__xludf.DUMMYFUNCTION("""COMPUTED_VALUE"""),"Nybolig Nørrebro - Fælledvej")</f>
        <v>Nybolig Nørrebro - Fælledvej</v>
      </c>
      <c r="C9" s="2">
        <f ca="1">IFERROR(__xludf.DUMMYFUNCTION("""COMPUTED_VALUE"""),36341831)</f>
        <v>36341831</v>
      </c>
      <c r="D9" s="2" t="str">
        <f ca="1">IFERROR(__xludf.DUMMYFUNCTION("""COMPUTED_VALUE"""),"MG-SJ: 3.499,-")</f>
        <v>MG-SJ: 3.499,-</v>
      </c>
      <c r="E9" s="2">
        <f ca="1">IFERROR(__xludf.DUMMYFUNCTION("""COMPUTED_VALUE"""),1202)</f>
        <v>1202</v>
      </c>
      <c r="F9" s="2" t="str">
        <f ca="1">IFERROR(__xludf.DUMMYFUNCTION("""COMPUTED_VALUE"""),"Mark von der Maase")</f>
        <v>Mark von der Maase</v>
      </c>
      <c r="G9" s="2" t="str">
        <f ca="1">IFERROR(__xludf.DUMMYFUNCTION("""COMPUTED_VALUE"""),"mvm@nybolig.dk")</f>
        <v>mvm@nybolig.dk</v>
      </c>
      <c r="H9" s="2"/>
      <c r="I9" s="2" t="str">
        <f ca="1">IFERROR(__xludf.DUMMYFUNCTION("""COMPUTED_VALUE"""),"Fælledvej 18")</f>
        <v>Fælledvej 18</v>
      </c>
      <c r="J9" s="2">
        <f ca="1">IFERROR(__xludf.DUMMYFUNCTION("""COMPUTED_VALUE"""),2200)</f>
        <v>2200</v>
      </c>
      <c r="K9" s="2" t="str">
        <f ca="1">IFERROR(__xludf.DUMMYFUNCTION("""COMPUTED_VALUE"""),"København N")</f>
        <v>København N</v>
      </c>
      <c r="L9" s="2" t="str">
        <f ca="1">IFERROR(__xludf.DUMMYFUNCTION("""COMPUTED_VALUE"""),"København")</f>
        <v>København</v>
      </c>
      <c r="M9" s="2" t="str">
        <f ca="1">IFERROR(__xludf.DUMMYFUNCTION("""COMPUTED_VALUE"""),"København By")</f>
        <v>København By</v>
      </c>
      <c r="N9" s="2" t="str">
        <f ca="1">IFERROR(__xludf.DUMMYFUNCTION("""COMPUTED_VALUE"""),"Hovedstaden")</f>
        <v>Hovedstaden</v>
      </c>
      <c r="O9" s="2" t="str">
        <f ca="1">IFERROR(__xludf.DUMMYFUNCTION("""COMPUTED_VALUE"""),"3537 9922")</f>
        <v>3537 9922</v>
      </c>
      <c r="P9" s="2" t="str">
        <f ca="1">IFERROR(__xludf.DUMMYFUNCTION("""COMPUTED_VALUE"""),"2201@nybolig.dk")</f>
        <v>2201@nybolig.dk</v>
      </c>
      <c r="Q9" s="27" t="str">
        <f ca="1">IFERROR(__xludf.DUMMYFUNCTION("""COMPUTED_VALUE"""),"https://www.boliga.dk/maegler/856")</f>
        <v>https://www.boliga.dk/maegler/856</v>
      </c>
      <c r="R9" s="2" t="str">
        <f ca="1">IFERROR(__xludf.DUMMYFUNCTION("""COMPUTED_VALUE"""),"-")</f>
        <v>-</v>
      </c>
      <c r="S9" s="2" t="str">
        <f ca="1">IFERROR(__xludf.DUMMYFUNCTION("""COMPUTED_VALUE"""),"-")</f>
        <v>-</v>
      </c>
      <c r="T9" s="2" t="str">
        <f ca="1">IFERROR(__xludf.DUMMYFUNCTION("""COMPUTED_VALUE"""),"-")</f>
        <v>-</v>
      </c>
      <c r="U9" s="2">
        <f ca="1">IFERROR(__xludf.DUMMYFUNCTION("""COMPUTED_VALUE"""),20)</f>
        <v>20</v>
      </c>
      <c r="V9" s="2" t="str">
        <f ca="1">IFERROR(__xludf.DUMMYFUNCTION("""COMPUTED_VALUE"""),"2300, 1576, 2200, 2100")</f>
        <v>2300, 1576, 2200, 2100</v>
      </c>
      <c r="W9" s="2">
        <f ca="1">IFERROR(__xludf.DUMMYFUNCTION("""COMPUTED_VALUE"""),33)</f>
        <v>33</v>
      </c>
      <c r="X9" s="2" t="str">
        <f ca="1">IFERROR(__xludf.DUMMYFUNCTION("""COMPUTED_VALUE"""),"2650, 2200, 2100, 2300, 2500, 2830, 2400, 2942, 2630")</f>
        <v>2650, 2200, 2100, 2300, 2500, 2830, 2400, 2942, 2630</v>
      </c>
      <c r="Y9" s="2" t="str">
        <f ca="1">IFERROR(__xludf.DUMMYFUNCTION("""COMPUTED_VALUE"""),"ja")</f>
        <v>ja</v>
      </c>
      <c r="Z9" s="2" t="str">
        <f ca="1">IFERROR(__xludf.DUMMYFUNCTION("""COMPUTED_VALUE"""),"Mark er klar, skal vendes med mette")</f>
        <v>Mark er klar, skal vendes med mette</v>
      </c>
      <c r="AA9" s="2"/>
      <c r="AB9" s="2" t="str">
        <f ca="1">IFERROR(__xludf.DUMMYFUNCTION("""COMPUTED_VALUE"""),"x")</f>
        <v>x</v>
      </c>
      <c r="AC9" s="2" t="str">
        <f ca="1">IFERROR(__xludf.DUMMYFUNCTION("""COMPUTED_VALUE"""),"x")</f>
        <v>x</v>
      </c>
    </row>
    <row r="10" spans="1:33" ht="15.75" customHeight="1">
      <c r="A10" s="2" t="str">
        <f ca="1">IFERROR(__xludf.DUMMYFUNCTION("""COMPUTED_VALUE"""),"Christian")</f>
        <v>Christian</v>
      </c>
      <c r="B10" s="2" t="str">
        <f ca="1">IFERROR(__xludf.DUMMYFUNCTION("""COMPUTED_VALUE"""),"Nybolig Nørrebro - Jagtvej")</f>
        <v>Nybolig Nørrebro - Jagtvej</v>
      </c>
      <c r="C10" s="2">
        <f ca="1">IFERROR(__xludf.DUMMYFUNCTION("""COMPUTED_VALUE"""),42442690)</f>
        <v>42442690</v>
      </c>
      <c r="D10" s="2" t="str">
        <f ca="1">IFERROR(__xludf.DUMMYFUNCTION("""COMPUTED_VALUE"""),"MG-SJ: 3.499,-")</f>
        <v>MG-SJ: 3.499,-</v>
      </c>
      <c r="E10" s="2">
        <f ca="1">IFERROR(__xludf.DUMMYFUNCTION("""COMPUTED_VALUE"""),1202)</f>
        <v>1202</v>
      </c>
      <c r="F10" s="2" t="str">
        <f ca="1">IFERROR(__xludf.DUMMYFUNCTION("""COMPUTED_VALUE"""),"Ossama Freije")</f>
        <v>Ossama Freije</v>
      </c>
      <c r="G10" s="2" t="str">
        <f ca="1">IFERROR(__xludf.DUMMYFUNCTION("""COMPUTED_VALUE"""),"osf@nybolig.dk")</f>
        <v>osf@nybolig.dk</v>
      </c>
      <c r="H10" s="2"/>
      <c r="I10" s="2" t="str">
        <f ca="1">IFERROR(__xludf.DUMMYFUNCTION("""COMPUTED_VALUE"""),"Jagtvej 55")</f>
        <v>Jagtvej 55</v>
      </c>
      <c r="J10" s="2">
        <f ca="1">IFERROR(__xludf.DUMMYFUNCTION("""COMPUTED_VALUE"""),2200)</f>
        <v>2200</v>
      </c>
      <c r="K10" s="2" t="str">
        <f ca="1">IFERROR(__xludf.DUMMYFUNCTION("""COMPUTED_VALUE"""),"København N")</f>
        <v>København N</v>
      </c>
      <c r="L10" s="2" t="str">
        <f ca="1">IFERROR(__xludf.DUMMYFUNCTION("""COMPUTED_VALUE"""),"København")</f>
        <v>København</v>
      </c>
      <c r="M10" s="2" t="str">
        <f ca="1">IFERROR(__xludf.DUMMYFUNCTION("""COMPUTED_VALUE"""),"København By")</f>
        <v>København By</v>
      </c>
      <c r="N10" s="2" t="str">
        <f ca="1">IFERROR(__xludf.DUMMYFUNCTION("""COMPUTED_VALUE"""),"Hovedstaden")</f>
        <v>Hovedstaden</v>
      </c>
      <c r="O10" s="2" t="str">
        <f ca="1">IFERROR(__xludf.DUMMYFUNCTION("""COMPUTED_VALUE"""),"3587 7000")</f>
        <v>3587 7000</v>
      </c>
      <c r="P10" s="2" t="str">
        <f ca="1">IFERROR(__xludf.DUMMYFUNCTION("""COMPUTED_VALUE"""),"2202@nybolig.dk")</f>
        <v>2202@nybolig.dk</v>
      </c>
      <c r="Q10" s="27" t="str">
        <f ca="1">IFERROR(__xludf.DUMMYFUNCTION("""COMPUTED_VALUE"""),"https://www.boliga.dk/maegler/772")</f>
        <v>https://www.boliga.dk/maegler/772</v>
      </c>
      <c r="R10" s="2" t="str">
        <f ca="1">IFERROR(__xludf.DUMMYFUNCTION("""COMPUTED_VALUE"""),"-")</f>
        <v>-</v>
      </c>
      <c r="S10" s="2" t="str">
        <f ca="1">IFERROR(__xludf.DUMMYFUNCTION("""COMPUTED_VALUE"""),"-")</f>
        <v>-</v>
      </c>
      <c r="T10" s="2" t="str">
        <f ca="1">IFERROR(__xludf.DUMMYFUNCTION("""COMPUTED_VALUE"""),"-")</f>
        <v>-</v>
      </c>
      <c r="U10" s="2">
        <f ca="1">IFERROR(__xludf.DUMMYFUNCTION("""COMPUTED_VALUE"""),12)</f>
        <v>12</v>
      </c>
      <c r="V10" s="2" t="str">
        <f ca="1">IFERROR(__xludf.DUMMYFUNCTION("""COMPUTED_VALUE"""),"1656, 2100, 1165, 2200, 2000, 2400, 2500")</f>
        <v>1656, 2100, 1165, 2200, 2000, 2400, 2500</v>
      </c>
      <c r="W10" s="2">
        <f ca="1">IFERROR(__xludf.DUMMYFUNCTION("""COMPUTED_VALUE"""),61)</f>
        <v>61</v>
      </c>
      <c r="X10" s="2" t="str">
        <f ca="1">IFERROR(__xludf.DUMMYFUNCTION("""COMPUTED_VALUE"""),"1817, 2000, 1874, 2300, 2100, 2800, 2200, 2400, 2500")</f>
        <v>1817, 2000, 1874, 2300, 2100, 2800, 2200, 2400, 2500</v>
      </c>
      <c r="Y10" s="2" t="str">
        <f ca="1">IFERROR(__xludf.DUMMYFUNCTION("""COMPUTED_VALUE"""),"ja")</f>
        <v>ja</v>
      </c>
      <c r="Z10" s="2" t="str">
        <f ca="1">IFERROR(__xludf.DUMMYFUNCTION("""COMPUTED_VALUE"""),"Benjamin skal på ferie, skal lige tale med sin parrtner om det, men var meget positiv")</f>
        <v>Benjamin skal på ferie, skal lige tale med sin parrtner om det, men var meget positiv</v>
      </c>
      <c r="AA10" s="2"/>
      <c r="AB10" s="2" t="str">
        <f ca="1">IFERROR(__xludf.DUMMYFUNCTION("""COMPUTED_VALUE"""),"x")</f>
        <v>x</v>
      </c>
      <c r="AC10" s="2" t="str">
        <f ca="1">IFERROR(__xludf.DUMMYFUNCTION("""COMPUTED_VALUE"""),"x")</f>
        <v>x</v>
      </c>
    </row>
    <row r="11" spans="1:33" ht="15.75" customHeight="1">
      <c r="A11" s="2" t="str">
        <f ca="1">IFERROR(__xludf.DUMMYFUNCTION("""COMPUTED_VALUE"""),"Christian")</f>
        <v>Christian</v>
      </c>
      <c r="B11" s="2" t="str">
        <f ca="1">IFERROR(__xludf.DUMMYFUNCTION("""COMPUTED_VALUE"""),"Nybolig Amager - Øresundsvej A/S")</f>
        <v>Nybolig Amager - Øresundsvej A/S</v>
      </c>
      <c r="C11" s="2">
        <f ca="1">IFERROR(__xludf.DUMMYFUNCTION("""COMPUTED_VALUE"""),33591470)</f>
        <v>33591470</v>
      </c>
      <c r="D11" s="2" t="str">
        <f ca="1">IFERROR(__xludf.DUMMYFUNCTION("""COMPUTED_VALUE"""),"MG-SJ: 3.499,-")</f>
        <v>MG-SJ: 3.499,-</v>
      </c>
      <c r="E11" s="2">
        <f ca="1">IFERROR(__xludf.DUMMYFUNCTION("""COMPUTED_VALUE"""),1202)</f>
        <v>1202</v>
      </c>
      <c r="F11" s="2" t="str">
        <f ca="1">IFERROR(__xludf.DUMMYFUNCTION("""COMPUTED_VALUE"""),"Michael Sandbeck")</f>
        <v>Michael Sandbeck</v>
      </c>
      <c r="G11" s="2" t="str">
        <f ca="1">IFERROR(__xludf.DUMMYFUNCTION("""COMPUTED_VALUE"""),"msz@nybolig.dk")</f>
        <v>msz@nybolig.dk</v>
      </c>
      <c r="H11" s="2"/>
      <c r="I11" s="2" t="str">
        <f ca="1">IFERROR(__xludf.DUMMYFUNCTION("""COMPUTED_VALUE"""),"Øresundsvej 94")</f>
        <v>Øresundsvej 94</v>
      </c>
      <c r="J11" s="2">
        <f ca="1">IFERROR(__xludf.DUMMYFUNCTION("""COMPUTED_VALUE"""),2300)</f>
        <v>2300</v>
      </c>
      <c r="K11" s="2" t="str">
        <f ca="1">IFERROR(__xludf.DUMMYFUNCTION("""COMPUTED_VALUE"""),"København S")</f>
        <v>København S</v>
      </c>
      <c r="L11" s="2" t="str">
        <f ca="1">IFERROR(__xludf.DUMMYFUNCTION("""COMPUTED_VALUE"""),"København")</f>
        <v>København</v>
      </c>
      <c r="M11" s="2" t="str">
        <f ca="1">IFERROR(__xludf.DUMMYFUNCTION("""COMPUTED_VALUE"""),"København By")</f>
        <v>København By</v>
      </c>
      <c r="N11" s="2" t="str">
        <f ca="1">IFERROR(__xludf.DUMMYFUNCTION("""COMPUTED_VALUE"""),"Hovedstaden")</f>
        <v>Hovedstaden</v>
      </c>
      <c r="O11" s="2" t="str">
        <f ca="1">IFERROR(__xludf.DUMMYFUNCTION("""COMPUTED_VALUE"""),"4458 2301")</f>
        <v>4458 2301</v>
      </c>
      <c r="P11" s="2" t="str">
        <f ca="1">IFERROR(__xludf.DUMMYFUNCTION("""COMPUTED_VALUE"""),"2301@nybolig.dk")</f>
        <v>2301@nybolig.dk</v>
      </c>
      <c r="Q11" s="27" t="str">
        <f ca="1">IFERROR(__xludf.DUMMYFUNCTION("""COMPUTED_VALUE"""),"https://www.boliga.dk/maegler/948")</f>
        <v>https://www.boliga.dk/maegler/948</v>
      </c>
      <c r="R11" s="2" t="str">
        <f ca="1">IFERROR(__xludf.DUMMYFUNCTION("""COMPUTED_VALUE"""),"-")</f>
        <v>-</v>
      </c>
      <c r="S11" s="2" t="str">
        <f ca="1">IFERROR(__xludf.DUMMYFUNCTION("""COMPUTED_VALUE"""),"-")</f>
        <v>-</v>
      </c>
      <c r="T11" s="2" t="str">
        <f ca="1">IFERROR(__xludf.DUMMYFUNCTION("""COMPUTED_VALUE"""),"-")</f>
        <v>-</v>
      </c>
      <c r="U11" s="2">
        <f ca="1">IFERROR(__xludf.DUMMYFUNCTION("""COMPUTED_VALUE"""),5)</f>
        <v>5</v>
      </c>
      <c r="V11" s="2">
        <f ca="1">IFERROR(__xludf.DUMMYFUNCTION("""COMPUTED_VALUE"""),2300)</f>
        <v>2300</v>
      </c>
      <c r="W11" s="2">
        <f ca="1">IFERROR(__xludf.DUMMYFUNCTION("""COMPUTED_VALUE"""),28)</f>
        <v>28</v>
      </c>
      <c r="X11" s="2">
        <f ca="1">IFERROR(__xludf.DUMMYFUNCTION("""COMPUTED_VALUE"""),2300)</f>
        <v>2300</v>
      </c>
      <c r="Y11" s="2" t="str">
        <f ca="1">IFERROR(__xludf.DUMMYFUNCTION("""COMPUTED_VALUE"""),"Ja")</f>
        <v>Ja</v>
      </c>
      <c r="Z11" s="2" t="str">
        <f ca="1">IFERROR(__xludf.DUMMYFUNCTION("""COMPUTED_VALUE"""),"hans pertner Martin er lige taget på ferie (11/3) men han kunne ikke forestille sig at de ville sige nej")</f>
        <v>hans pertner Martin er lige taget på ferie (11/3) men han kunne ikke forestille sig at de ville sige nej</v>
      </c>
      <c r="AA11" s="2"/>
      <c r="AB11" s="2" t="str">
        <f ca="1">IFERROR(__xludf.DUMMYFUNCTION("""COMPUTED_VALUE"""),"x")</f>
        <v>x</v>
      </c>
      <c r="AC11" s="2" t="str">
        <f ca="1">IFERROR(__xludf.DUMMYFUNCTION("""COMPUTED_VALUE"""),"x")</f>
        <v>x</v>
      </c>
    </row>
    <row r="12" spans="1:33" ht="15.75" customHeight="1">
      <c r="A12" s="2" t="str">
        <f ca="1">IFERROR(__xludf.DUMMYFUNCTION("""COMPUTED_VALUE"""),"Christian")</f>
        <v>Christian</v>
      </c>
      <c r="B12" s="2" t="str">
        <f ca="1">IFERROR(__xludf.DUMMYFUNCTION("""COMPUTED_VALUE"""),"Nybolig Amagerbro")</f>
        <v>Nybolig Amagerbro</v>
      </c>
      <c r="C12" s="2"/>
      <c r="D12" s="2" t="str">
        <f ca="1">IFERROR(__xludf.DUMMYFUNCTION("""COMPUTED_VALUE"""),"MG-SJ: 3.499,-")</f>
        <v>MG-SJ: 3.499,-</v>
      </c>
      <c r="E12" s="2">
        <f ca="1">IFERROR(__xludf.DUMMYFUNCTION("""COMPUTED_VALUE"""),1202)</f>
        <v>1202</v>
      </c>
      <c r="F12" s="2"/>
      <c r="G12" s="2"/>
      <c r="H12" s="2"/>
      <c r="I12" s="2" t="str">
        <f ca="1">IFERROR(__xludf.DUMMYFUNCTION("""COMPUTED_VALUE"""),"Amagerbrogade 30")</f>
        <v>Amagerbrogade 30</v>
      </c>
      <c r="J12" s="2">
        <f ca="1">IFERROR(__xludf.DUMMYFUNCTION("""COMPUTED_VALUE"""),2300)</f>
        <v>2300</v>
      </c>
      <c r="K12" s="2" t="str">
        <f ca="1">IFERROR(__xludf.DUMMYFUNCTION("""COMPUTED_VALUE"""),"København S")</f>
        <v>København S</v>
      </c>
      <c r="L12" s="2" t="str">
        <f ca="1">IFERROR(__xludf.DUMMYFUNCTION("""COMPUTED_VALUE"""),"København")</f>
        <v>København</v>
      </c>
      <c r="M12" s="2" t="str">
        <f ca="1">IFERROR(__xludf.DUMMYFUNCTION("""COMPUTED_VALUE"""),"København By")</f>
        <v>København By</v>
      </c>
      <c r="N12" s="2" t="str">
        <f ca="1">IFERROR(__xludf.DUMMYFUNCTION("""COMPUTED_VALUE"""),"Hovedstaden")</f>
        <v>Hovedstaden</v>
      </c>
      <c r="O12" s="2" t="str">
        <f ca="1">IFERROR(__xludf.DUMMYFUNCTION("""COMPUTED_VALUE"""),"3232 4455")</f>
        <v>3232 4455</v>
      </c>
      <c r="P12" s="2" t="str">
        <f ca="1">IFERROR(__xludf.DUMMYFUNCTION("""COMPUTED_VALUE"""),"2303@nybolig.dk")</f>
        <v>2303@nybolig.dk</v>
      </c>
      <c r="Q12" s="27" t="str">
        <f ca="1">IFERROR(__xludf.DUMMYFUNCTION("""COMPUTED_VALUE"""),"https://www.boliga.dk/maegler/19356")</f>
        <v>https://www.boliga.dk/maegler/19356</v>
      </c>
      <c r="R12" s="2" t="str">
        <f ca="1">IFERROR(__xludf.DUMMYFUNCTION("""COMPUTED_VALUE"""),"-")</f>
        <v>-</v>
      </c>
      <c r="S12" s="2" t="str">
        <f ca="1">IFERROR(__xludf.DUMMYFUNCTION("""COMPUTED_VALUE"""),"-")</f>
        <v>-</v>
      </c>
      <c r="T12" s="2" t="str">
        <f ca="1">IFERROR(__xludf.DUMMYFUNCTION("""COMPUTED_VALUE"""),"-")</f>
        <v>-</v>
      </c>
      <c r="U12" s="2">
        <f ca="1">IFERROR(__xludf.DUMMYFUNCTION("""COMPUTED_VALUE"""),7)</f>
        <v>7</v>
      </c>
      <c r="V12" s="2">
        <f ca="1">IFERROR(__xludf.DUMMYFUNCTION("""COMPUTED_VALUE"""),2300)</f>
        <v>2300</v>
      </c>
      <c r="W12" s="2">
        <f ca="1">IFERROR(__xludf.DUMMYFUNCTION("""COMPUTED_VALUE"""),17)</f>
        <v>17</v>
      </c>
      <c r="X12" s="2" t="str">
        <f ca="1">IFERROR(__xludf.DUMMYFUNCTION("""COMPUTED_VALUE"""),"2610, 2300, 3370, 2000")</f>
        <v>2610, 2300, 3370, 2000</v>
      </c>
      <c r="Y12" s="2" t="str">
        <f ca="1">IFERROR(__xludf.DUMMYFUNCTION("""COMPUTED_VALUE"""),"ja")</f>
        <v>ja</v>
      </c>
      <c r="Z12" s="2" t="str">
        <f ca="1">IFERROR(__xludf.DUMMYFUNCTION("""COMPUTED_VALUE"""),"holger er int. vil lige vise det til hans mægler - sendt mail 15/6 - på ferie til den 10/7 - lagt besked 15/8")</f>
        <v>holger er int. vil lige vise det til hans mægler - sendt mail 15/6 - på ferie til den 10/7 - lagt besked 15/8</v>
      </c>
      <c r="AA12" s="2"/>
      <c r="AB12" s="2" t="str">
        <f ca="1">IFERROR(__xludf.DUMMYFUNCTION("""COMPUTED_VALUE"""),"x")</f>
        <v>x</v>
      </c>
      <c r="AC12" s="2"/>
    </row>
    <row r="13" spans="1:33" ht="15.75" customHeight="1">
      <c r="A13" s="2" t="str">
        <f ca="1">IFERROR(__xludf.DUMMYFUNCTION("""COMPUTED_VALUE"""),"Christian")</f>
        <v>Christian</v>
      </c>
      <c r="B13" s="2" t="str">
        <f ca="1">IFERROR(__xludf.DUMMYFUNCTION("""COMPUTED_VALUE"""),"Nybolig Islands Brygge A/S")</f>
        <v>Nybolig Islands Brygge A/S</v>
      </c>
      <c r="C13" s="2">
        <f ca="1">IFERROR(__xludf.DUMMYFUNCTION("""COMPUTED_VALUE"""),33591470)</f>
        <v>33591470</v>
      </c>
      <c r="D13" s="2" t="str">
        <f ca="1">IFERROR(__xludf.DUMMYFUNCTION("""COMPUTED_VALUE"""),"MG-SJ: 3.499,-")</f>
        <v>MG-SJ: 3.499,-</v>
      </c>
      <c r="E13" s="2">
        <f ca="1">IFERROR(__xludf.DUMMYFUNCTION("""COMPUTED_VALUE"""),1202)</f>
        <v>1202</v>
      </c>
      <c r="F13" s="2" t="str">
        <f ca="1">IFERROR(__xludf.DUMMYFUNCTION("""COMPUTED_VALUE"""),"Michael Sandbeck")</f>
        <v>Michael Sandbeck</v>
      </c>
      <c r="G13" s="2" t="str">
        <f ca="1">IFERROR(__xludf.DUMMYFUNCTION("""COMPUTED_VALUE"""),"msz@nybolig.dk")</f>
        <v>msz@nybolig.dk</v>
      </c>
      <c r="H13" s="2"/>
      <c r="I13" s="2" t="str">
        <f ca="1">IFERROR(__xludf.DUMMYFUNCTION("""COMPUTED_VALUE"""),"Islands Brygge / Vestmannagade 1")</f>
        <v>Islands Brygge / Vestmannagade 1</v>
      </c>
      <c r="J13" s="2">
        <f ca="1">IFERROR(__xludf.DUMMYFUNCTION("""COMPUTED_VALUE"""),2300)</f>
        <v>2300</v>
      </c>
      <c r="K13" s="2" t="str">
        <f ca="1">IFERROR(__xludf.DUMMYFUNCTION("""COMPUTED_VALUE"""),"København S")</f>
        <v>København S</v>
      </c>
      <c r="L13" s="2" t="str">
        <f ca="1">IFERROR(__xludf.DUMMYFUNCTION("""COMPUTED_VALUE"""),"København")</f>
        <v>København</v>
      </c>
      <c r="M13" s="2" t="str">
        <f ca="1">IFERROR(__xludf.DUMMYFUNCTION("""COMPUTED_VALUE"""),"København By")</f>
        <v>København By</v>
      </c>
      <c r="N13" s="2" t="str">
        <f ca="1">IFERROR(__xludf.DUMMYFUNCTION("""COMPUTED_VALUE"""),"Hovedstaden")</f>
        <v>Hovedstaden</v>
      </c>
      <c r="O13" s="2" t="str">
        <f ca="1">IFERROR(__xludf.DUMMYFUNCTION("""COMPUTED_VALUE"""),"3259 7749")</f>
        <v>3259 7749</v>
      </c>
      <c r="P13" s="2" t="str">
        <f ca="1">IFERROR(__xludf.DUMMYFUNCTION("""COMPUTED_VALUE"""),"2302@nybolig.dk")</f>
        <v>2302@nybolig.dk</v>
      </c>
      <c r="Q13" s="27" t="str">
        <f ca="1">IFERROR(__xludf.DUMMYFUNCTION("""COMPUTED_VALUE"""),"https://www.boliga.dk/maegler/603")</f>
        <v>https://www.boliga.dk/maegler/603</v>
      </c>
      <c r="R13" s="2" t="str">
        <f ca="1">IFERROR(__xludf.DUMMYFUNCTION("""COMPUTED_VALUE"""),"-")</f>
        <v>-</v>
      </c>
      <c r="S13" s="2" t="str">
        <f ca="1">IFERROR(__xludf.DUMMYFUNCTION("""COMPUTED_VALUE"""),"-")</f>
        <v>-</v>
      </c>
      <c r="T13" s="2" t="str">
        <f ca="1">IFERROR(__xludf.DUMMYFUNCTION("""COMPUTED_VALUE"""),"-")</f>
        <v>-</v>
      </c>
      <c r="U13" s="2">
        <f ca="1">IFERROR(__xludf.DUMMYFUNCTION("""COMPUTED_VALUE"""),6)</f>
        <v>6</v>
      </c>
      <c r="V13" s="2">
        <f ca="1">IFERROR(__xludf.DUMMYFUNCTION("""COMPUTED_VALUE"""),2300)</f>
        <v>2300</v>
      </c>
      <c r="W13" s="2">
        <f ca="1">IFERROR(__xludf.DUMMYFUNCTION("""COMPUTED_VALUE"""),23)</f>
        <v>23</v>
      </c>
      <c r="X13" s="2" t="str">
        <f ca="1">IFERROR(__xludf.DUMMYFUNCTION("""COMPUTED_VALUE"""),"1425, 2300")</f>
        <v>1425, 2300</v>
      </c>
      <c r="Y13" s="2" t="str">
        <f ca="1">IFERROR(__xludf.DUMMYFUNCTION("""COMPUTED_VALUE"""),"ja")</f>
        <v>ja</v>
      </c>
      <c r="Z13" s="2" t="str">
        <f ca="1">IFERROR(__xludf.DUMMYFUNCTION("""COMPUTED_VALUE"""),"se Nybolig Amager - Øresundsvej A/S")</f>
        <v>se Nybolig Amager - Øresundsvej A/S</v>
      </c>
      <c r="AA13" s="2"/>
      <c r="AB13" s="2" t="str">
        <f ca="1">IFERROR(__xludf.DUMMYFUNCTION("""COMPUTED_VALUE"""),"x")</f>
        <v>x</v>
      </c>
      <c r="AC13" s="2" t="str">
        <f ca="1">IFERROR(__xludf.DUMMYFUNCTION("""COMPUTED_VALUE"""),"x")</f>
        <v>x</v>
      </c>
    </row>
    <row r="14" spans="1:33" ht="15.75" customHeight="1">
      <c r="A14" s="2" t="str">
        <f ca="1">IFERROR(__xludf.DUMMYFUNCTION("""COMPUTED_VALUE"""),"Christian")</f>
        <v>Christian</v>
      </c>
      <c r="B14" s="2" t="str">
        <f ca="1">IFERROR(__xludf.DUMMYFUNCTION("""COMPUTED_VALUE"""),"Nybolig Ørestad Syd")</f>
        <v>Nybolig Ørestad Syd</v>
      </c>
      <c r="C14" s="2">
        <f ca="1">IFERROR(__xludf.DUMMYFUNCTION("""COMPUTED_VALUE"""),40193065)</f>
        <v>40193065</v>
      </c>
      <c r="D14" s="2" t="str">
        <f ca="1">IFERROR(__xludf.DUMMYFUNCTION("""COMPUTED_VALUE"""),"MG-SJ: 3.499,-")</f>
        <v>MG-SJ: 3.499,-</v>
      </c>
      <c r="E14" s="2">
        <f ca="1">IFERROR(__xludf.DUMMYFUNCTION("""COMPUTED_VALUE"""),1202)</f>
        <v>1202</v>
      </c>
      <c r="F14" s="2" t="str">
        <f ca="1">IFERROR(__xludf.DUMMYFUNCTION("""COMPUTED_VALUE"""),"Amanda Moe")</f>
        <v>Amanda Moe</v>
      </c>
      <c r="G14" s="2" t="str">
        <f ca="1">IFERROR(__xludf.DUMMYFUNCTION("""COMPUTED_VALUE"""),"amm@nybolig.dk")</f>
        <v>amm@nybolig.dk</v>
      </c>
      <c r="H14" s="2"/>
      <c r="I14" s="2" t="str">
        <f ca="1">IFERROR(__xludf.DUMMYFUNCTION("""COMPUTED_VALUE"""),"Richard Mortensens Vej 69A")</f>
        <v>Richard Mortensens Vej 69A</v>
      </c>
      <c r="J14" s="2">
        <f ca="1">IFERROR(__xludf.DUMMYFUNCTION("""COMPUTED_VALUE"""),2300)</f>
        <v>2300</v>
      </c>
      <c r="K14" s="2" t="str">
        <f ca="1">IFERROR(__xludf.DUMMYFUNCTION("""COMPUTED_VALUE"""),"København S")</f>
        <v>København S</v>
      </c>
      <c r="L14" s="2" t="str">
        <f ca="1">IFERROR(__xludf.DUMMYFUNCTION("""COMPUTED_VALUE"""),"København")</f>
        <v>København</v>
      </c>
      <c r="M14" s="2" t="str">
        <f ca="1">IFERROR(__xludf.DUMMYFUNCTION("""COMPUTED_VALUE"""),"København By")</f>
        <v>København By</v>
      </c>
      <c r="N14" s="2" t="str">
        <f ca="1">IFERROR(__xludf.DUMMYFUNCTION("""COMPUTED_VALUE"""),"Hovedstaden")</f>
        <v>Hovedstaden</v>
      </c>
      <c r="O14" s="2">
        <f ca="1">IFERROR(__xludf.DUMMYFUNCTION("""COMPUTED_VALUE"""),32552200)</f>
        <v>32552200</v>
      </c>
      <c r="P14" s="2" t="str">
        <f ca="1">IFERROR(__xludf.DUMMYFUNCTION("""COMPUTED_VALUE"""),"2308@nybolig.dk")</f>
        <v>2308@nybolig.dk</v>
      </c>
      <c r="Q14" s="27" t="str">
        <f ca="1">IFERROR(__xludf.DUMMYFUNCTION("""COMPUTED_VALUE"""),"https://www.boliga.dk/maegler/21550")</f>
        <v>https://www.boliga.dk/maegler/21550</v>
      </c>
      <c r="R14" s="2" t="str">
        <f ca="1">IFERROR(__xludf.DUMMYFUNCTION("""COMPUTED_VALUE"""),"-")</f>
        <v>-</v>
      </c>
      <c r="S14" s="2" t="str">
        <f ca="1">IFERROR(__xludf.DUMMYFUNCTION("""COMPUTED_VALUE"""),"-")</f>
        <v>-</v>
      </c>
      <c r="T14" s="2" t="str">
        <f ca="1">IFERROR(__xludf.DUMMYFUNCTION("""COMPUTED_VALUE"""),"-")</f>
        <v>-</v>
      </c>
      <c r="U14" s="2">
        <f ca="1">IFERROR(__xludf.DUMMYFUNCTION("""COMPUTED_VALUE"""),18)</f>
        <v>18</v>
      </c>
      <c r="V14" s="2">
        <f ca="1">IFERROR(__xludf.DUMMYFUNCTION("""COMPUTED_VALUE"""),2300)</f>
        <v>2300</v>
      </c>
      <c r="W14" s="2">
        <f ca="1">IFERROR(__xludf.DUMMYFUNCTION("""COMPUTED_VALUE"""),35)</f>
        <v>35</v>
      </c>
      <c r="X14" s="2" t="str">
        <f ca="1">IFERROR(__xludf.DUMMYFUNCTION("""COMPUTED_VALUE"""),"2400, 2300, 2820")</f>
        <v>2400, 2300, 2820</v>
      </c>
      <c r="Y14" s="2" t="str">
        <f ca="1">IFERROR(__xludf.DUMMYFUNCTION("""COMPUTED_VALUE"""),"ja")</f>
        <v>ja</v>
      </c>
      <c r="Z14" s="2" t="str">
        <f ca="1">IFERROR(__xludf.DUMMYFUNCTION("""COMPUTED_VALUE"""),"se dragør")</f>
        <v>se dragør</v>
      </c>
      <c r="AA14" s="2"/>
      <c r="AB14" s="2" t="str">
        <f ca="1">IFERROR(__xludf.DUMMYFUNCTION("""COMPUTED_VALUE"""),"x")</f>
        <v>x</v>
      </c>
      <c r="AC14" s="2" t="str">
        <f ca="1">IFERROR(__xludf.DUMMYFUNCTION("""COMPUTED_VALUE"""),"x")</f>
        <v>x</v>
      </c>
    </row>
    <row r="15" spans="1:33" ht="15.75" customHeight="1">
      <c r="A15" s="2" t="str">
        <f ca="1">IFERROR(__xludf.DUMMYFUNCTION("""COMPUTED_VALUE"""),"Christian")</f>
        <v>Christian</v>
      </c>
      <c r="B15" s="2" t="str">
        <f ca="1">IFERROR(__xludf.DUMMYFUNCTION("""COMPUTED_VALUE"""),"Nybolig Nordvest Emdrup")</f>
        <v>Nybolig Nordvest Emdrup</v>
      </c>
      <c r="C15" s="2">
        <f ca="1">IFERROR(__xludf.DUMMYFUNCTION("""COMPUTED_VALUE"""),42379301)</f>
        <v>42379301</v>
      </c>
      <c r="D15" s="2" t="str">
        <f ca="1">IFERROR(__xludf.DUMMYFUNCTION("""COMPUTED_VALUE"""),"MG-SJ: 3.499,-")</f>
        <v>MG-SJ: 3.499,-</v>
      </c>
      <c r="E15" s="2">
        <f ca="1">IFERROR(__xludf.DUMMYFUNCTION("""COMPUTED_VALUE"""),1202)</f>
        <v>1202</v>
      </c>
      <c r="F15" s="2" t="str">
        <f ca="1">IFERROR(__xludf.DUMMYFUNCTION("""COMPUTED_VALUE"""),"Marc Gerner")</f>
        <v>Marc Gerner</v>
      </c>
      <c r="G15" s="2" t="str">
        <f ca="1">IFERROR(__xludf.DUMMYFUNCTION("""COMPUTED_VALUE"""),"mg3@nybolig.dk")</f>
        <v>mg3@nybolig.dk</v>
      </c>
      <c r="H15" s="2"/>
      <c r="I15" s="2" t="str">
        <f ca="1">IFERROR(__xludf.DUMMYFUNCTION("""COMPUTED_VALUE"""),"Frederikssundsvej 29")</f>
        <v>Frederikssundsvej 29</v>
      </c>
      <c r="J15" s="2">
        <f ca="1">IFERROR(__xludf.DUMMYFUNCTION("""COMPUTED_VALUE"""),2400)</f>
        <v>2400</v>
      </c>
      <c r="K15" s="2" t="str">
        <f ca="1">IFERROR(__xludf.DUMMYFUNCTION("""COMPUTED_VALUE"""),"København NV")</f>
        <v>København NV</v>
      </c>
      <c r="L15" s="2" t="str">
        <f ca="1">IFERROR(__xludf.DUMMYFUNCTION("""COMPUTED_VALUE"""),"København")</f>
        <v>København</v>
      </c>
      <c r="M15" s="2" t="str">
        <f ca="1">IFERROR(__xludf.DUMMYFUNCTION("""COMPUTED_VALUE"""),"København By")</f>
        <v>København By</v>
      </c>
      <c r="N15" s="2" t="str">
        <f ca="1">IFERROR(__xludf.DUMMYFUNCTION("""COMPUTED_VALUE"""),"Hovedstaden")</f>
        <v>Hovedstaden</v>
      </c>
      <c r="O15" s="2" t="str">
        <f ca="1">IFERROR(__xludf.DUMMYFUNCTION("""COMPUTED_VALUE"""),"3819 5522")</f>
        <v>3819 5522</v>
      </c>
      <c r="P15" s="2" t="str">
        <f ca="1">IFERROR(__xludf.DUMMYFUNCTION("""COMPUTED_VALUE"""),"2400@nybolig.dk")</f>
        <v>2400@nybolig.dk</v>
      </c>
      <c r="Q15" s="27" t="str">
        <f ca="1">IFERROR(__xludf.DUMMYFUNCTION("""COMPUTED_VALUE"""),"https://www.boliga.dk/maegler/247")</f>
        <v>https://www.boliga.dk/maegler/247</v>
      </c>
      <c r="R15" s="2" t="str">
        <f ca="1">IFERROR(__xludf.DUMMYFUNCTION("""COMPUTED_VALUE"""),"-")</f>
        <v>-</v>
      </c>
      <c r="S15" s="2" t="str">
        <f ca="1">IFERROR(__xludf.DUMMYFUNCTION("""COMPUTED_VALUE"""),"-")</f>
        <v>-</v>
      </c>
      <c r="T15" s="2" t="str">
        <f ca="1">IFERROR(__xludf.DUMMYFUNCTION("""COMPUTED_VALUE"""),"-")</f>
        <v>-</v>
      </c>
      <c r="U15" s="2">
        <f ca="1">IFERROR(__xludf.DUMMYFUNCTION("""COMPUTED_VALUE"""),16)</f>
        <v>16</v>
      </c>
      <c r="V15" s="2" t="str">
        <f ca="1">IFERROR(__xludf.DUMMYFUNCTION("""COMPUTED_VALUE"""),"1171, 2200, 2400")</f>
        <v>1171, 2200, 2400</v>
      </c>
      <c r="W15" s="2">
        <f ca="1">IFERROR(__xludf.DUMMYFUNCTION("""COMPUTED_VALUE"""),23)</f>
        <v>23</v>
      </c>
      <c r="X15" s="2" t="str">
        <f ca="1">IFERROR(__xludf.DUMMYFUNCTION("""COMPUTED_VALUE"""),"2000, 2200, 2400")</f>
        <v>2000, 2200, 2400</v>
      </c>
      <c r="Y15" s="2" t="str">
        <f ca="1">IFERROR(__xludf.DUMMYFUNCTION("""COMPUTED_VALUE"""),"ja")</f>
        <v>ja</v>
      </c>
      <c r="Z15" s="2" t="str">
        <f ca="1">IFERROR(__xludf.DUMMYFUNCTION("""COMPUTED_VALUE"""),"Thomas syntes det er spændende og relevant for begge deres forretninger - han er dog lettere frusttreret over vores PM")</f>
        <v>Thomas syntes det er spændende og relevant for begge deres forretninger - han er dog lettere frusttreret over vores PM</v>
      </c>
      <c r="AA15" s="2"/>
      <c r="AB15" s="2" t="str">
        <f ca="1">IFERROR(__xludf.DUMMYFUNCTION("""COMPUTED_VALUE"""),"x")</f>
        <v>x</v>
      </c>
      <c r="AC15" s="2" t="str">
        <f ca="1">IFERROR(__xludf.DUMMYFUNCTION("""COMPUTED_VALUE"""),"x")</f>
        <v>x</v>
      </c>
    </row>
    <row r="16" spans="1:33" ht="15.75" customHeight="1">
      <c r="A16" s="2" t="str">
        <f ca="1">IFERROR(__xludf.DUMMYFUNCTION("""COMPUTED_VALUE"""),"Christian")</f>
        <v>Christian</v>
      </c>
      <c r="B16" s="2" t="str">
        <f ca="1">IFERROR(__xludf.DUMMYFUNCTION("""COMPUTED_VALUE"""),"Nybolig København SV ")</f>
        <v xml:space="preserve">Nybolig København SV </v>
      </c>
      <c r="C16" s="2">
        <f ca="1">IFERROR(__xludf.DUMMYFUNCTION("""COMPUTED_VALUE"""),40050612)</f>
        <v>40050612</v>
      </c>
      <c r="D16" s="2" t="str">
        <f ca="1">IFERROR(__xludf.DUMMYFUNCTION("""COMPUTED_VALUE"""),"MG-SJ: 3.499,-")</f>
        <v>MG-SJ: 3.499,-</v>
      </c>
      <c r="E16" s="2">
        <f ca="1">IFERROR(__xludf.DUMMYFUNCTION("""COMPUTED_VALUE"""),1202)</f>
        <v>1202</v>
      </c>
      <c r="F16" s="2" t="str">
        <f ca="1">IFERROR(__xludf.DUMMYFUNCTION("""COMPUTED_VALUE"""),"Jonas Hagmann")</f>
        <v>Jonas Hagmann</v>
      </c>
      <c r="G16" s="2" t="str">
        <f ca="1">IFERROR(__xludf.DUMMYFUNCTION("""COMPUTED_VALUE"""),"hag@nybolig.dk")</f>
        <v>hag@nybolig.dk</v>
      </c>
      <c r="H16" s="2"/>
      <c r="I16" s="2" t="str">
        <f ca="1">IFERROR(__xludf.DUMMYFUNCTION("""COMPUTED_VALUE"""),"Alliancevej 36")</f>
        <v>Alliancevej 36</v>
      </c>
      <c r="J16" s="2">
        <f ca="1">IFERROR(__xludf.DUMMYFUNCTION("""COMPUTED_VALUE"""),2450)</f>
        <v>2450</v>
      </c>
      <c r="K16" s="2" t="str">
        <f ca="1">IFERROR(__xludf.DUMMYFUNCTION("""COMPUTED_VALUE"""),"København SV")</f>
        <v>København SV</v>
      </c>
      <c r="L16" s="2" t="str">
        <f ca="1">IFERROR(__xludf.DUMMYFUNCTION("""COMPUTED_VALUE"""),"København")</f>
        <v>København</v>
      </c>
      <c r="M16" s="2" t="str">
        <f ca="1">IFERROR(__xludf.DUMMYFUNCTION("""COMPUTED_VALUE"""),"København By")</f>
        <v>København By</v>
      </c>
      <c r="N16" s="2" t="str">
        <f ca="1">IFERROR(__xludf.DUMMYFUNCTION("""COMPUTED_VALUE"""),"Hovedstaden")</f>
        <v>Hovedstaden</v>
      </c>
      <c r="O16" s="2">
        <f ca="1">IFERROR(__xludf.DUMMYFUNCTION("""COMPUTED_VALUE"""),36141516)</f>
        <v>36141516</v>
      </c>
      <c r="P16" s="2" t="str">
        <f ca="1">IFERROR(__xludf.DUMMYFUNCTION("""COMPUTED_VALUE"""),"2450@nybolig.dk")</f>
        <v>2450@nybolig.dk</v>
      </c>
      <c r="Q16" s="27" t="str">
        <f ca="1">IFERROR(__xludf.DUMMYFUNCTION("""COMPUTED_VALUE"""),"https://www.boliga.dk/maegler/26369")</f>
        <v>https://www.boliga.dk/maegler/26369</v>
      </c>
      <c r="R16" s="2" t="str">
        <f ca="1">IFERROR(__xludf.DUMMYFUNCTION("""COMPUTED_VALUE"""),"-")</f>
        <v>-</v>
      </c>
      <c r="S16" s="2" t="str">
        <f ca="1">IFERROR(__xludf.DUMMYFUNCTION("""COMPUTED_VALUE"""),"-")</f>
        <v>-</v>
      </c>
      <c r="T16" s="2" t="str">
        <f ca="1">IFERROR(__xludf.DUMMYFUNCTION("""COMPUTED_VALUE"""),"-")</f>
        <v>-</v>
      </c>
      <c r="U16" s="2">
        <f ca="1">IFERROR(__xludf.DUMMYFUNCTION("""COMPUTED_VALUE"""),4)</f>
        <v>4</v>
      </c>
      <c r="V16" s="2">
        <f ca="1">IFERROR(__xludf.DUMMYFUNCTION("""COMPUTED_VALUE"""),2450)</f>
        <v>2450</v>
      </c>
      <c r="W16" s="2">
        <f ca="1">IFERROR(__xludf.DUMMYFUNCTION("""COMPUTED_VALUE"""),5)</f>
        <v>5</v>
      </c>
      <c r="X16" s="2">
        <f ca="1">IFERROR(__xludf.DUMMYFUNCTION("""COMPUTED_VALUE"""),2450)</f>
        <v>2450</v>
      </c>
      <c r="Y16" s="2" t="str">
        <f ca="1">IFERROR(__xludf.DUMMYFUNCTION("""COMPUTED_VALUE"""),"ja")</f>
        <v>ja</v>
      </c>
      <c r="Z16" s="2" t="str">
        <f ca="1">IFERROR(__xludf.DUMMYFUNCTION("""COMPUTED_VALUE"""),"Jonas hagmann er int. skal lige vende den med den anden jonas.")</f>
        <v>Jonas hagmann er int. skal lige vende den med den anden jonas.</v>
      </c>
      <c r="AA16" s="2"/>
      <c r="AB16" s="2" t="str">
        <f ca="1">IFERROR(__xludf.DUMMYFUNCTION("""COMPUTED_VALUE"""),"x")</f>
        <v>x</v>
      </c>
      <c r="AC16" s="2" t="str">
        <f ca="1">IFERROR(__xludf.DUMMYFUNCTION("""COMPUTED_VALUE"""),"x")</f>
        <v>x</v>
      </c>
    </row>
    <row r="17" spans="1:29" ht="15.75" customHeight="1">
      <c r="A17" s="2" t="str">
        <f ca="1">IFERROR(__xludf.DUMMYFUNCTION("""COMPUTED_VALUE"""),"Christian")</f>
        <v>Christian</v>
      </c>
      <c r="B17" s="2" t="str">
        <f ca="1">IFERROR(__xludf.DUMMYFUNCTION("""COMPUTED_VALUE"""),"Nybolig Valby - Martin Enemærke A/S")</f>
        <v>Nybolig Valby - Martin Enemærke A/S</v>
      </c>
      <c r="C17" s="2">
        <f ca="1">IFERROR(__xludf.DUMMYFUNCTION("""COMPUTED_VALUE"""),40050612)</f>
        <v>40050612</v>
      </c>
      <c r="D17" s="2" t="str">
        <f ca="1">IFERROR(__xludf.DUMMYFUNCTION("""COMPUTED_VALUE"""),"MG-SJ: 3.499,-")</f>
        <v>MG-SJ: 3.499,-</v>
      </c>
      <c r="E17" s="2">
        <f ca="1">IFERROR(__xludf.DUMMYFUNCTION("""COMPUTED_VALUE"""),1202)</f>
        <v>1202</v>
      </c>
      <c r="F17" s="2" t="str">
        <f ca="1">IFERROR(__xludf.DUMMYFUNCTION("""COMPUTED_VALUE"""),"Jonas Hagmann")</f>
        <v>Jonas Hagmann</v>
      </c>
      <c r="G17" s="2" t="str">
        <f ca="1">IFERROR(__xludf.DUMMYFUNCTION("""COMPUTED_VALUE"""),"hag@nybolig.dk")</f>
        <v>hag@nybolig.dk</v>
      </c>
      <c r="H17" s="2"/>
      <c r="I17" s="2" t="str">
        <f ca="1">IFERROR(__xludf.DUMMYFUNCTION("""COMPUTED_VALUE"""),"Valby Langgade 207")</f>
        <v>Valby Langgade 207</v>
      </c>
      <c r="J17" s="2">
        <f ca="1">IFERROR(__xludf.DUMMYFUNCTION("""COMPUTED_VALUE"""),2500)</f>
        <v>2500</v>
      </c>
      <c r="K17" s="2" t="str">
        <f ca="1">IFERROR(__xludf.DUMMYFUNCTION("""COMPUTED_VALUE"""),"Valby")</f>
        <v>Valby</v>
      </c>
      <c r="L17" s="2" t="str">
        <f ca="1">IFERROR(__xludf.DUMMYFUNCTION("""COMPUTED_VALUE"""),"København")</f>
        <v>København</v>
      </c>
      <c r="M17" s="2" t="str">
        <f ca="1">IFERROR(__xludf.DUMMYFUNCTION("""COMPUTED_VALUE"""),"København By")</f>
        <v>København By</v>
      </c>
      <c r="N17" s="2" t="str">
        <f ca="1">IFERROR(__xludf.DUMMYFUNCTION("""COMPUTED_VALUE"""),"Hovedstaden")</f>
        <v>Hovedstaden</v>
      </c>
      <c r="O17" s="2" t="str">
        <f ca="1">IFERROR(__xludf.DUMMYFUNCTION("""COMPUTED_VALUE"""),"3614 1516")</f>
        <v>3614 1516</v>
      </c>
      <c r="P17" s="2" t="str">
        <f ca="1">IFERROR(__xludf.DUMMYFUNCTION("""COMPUTED_VALUE"""),"2500@nybolig.dk")</f>
        <v>2500@nybolig.dk</v>
      </c>
      <c r="Q17" s="27" t="str">
        <f ca="1">IFERROR(__xludf.DUMMYFUNCTION("""COMPUTED_VALUE"""),"https://www.boliga.dk/maegler/246")</f>
        <v>https://www.boliga.dk/maegler/246</v>
      </c>
      <c r="R17" s="2" t="str">
        <f ca="1">IFERROR(__xludf.DUMMYFUNCTION("""COMPUTED_VALUE"""),"-")</f>
        <v>-</v>
      </c>
      <c r="S17" s="2" t="str">
        <f ca="1">IFERROR(__xludf.DUMMYFUNCTION("""COMPUTED_VALUE"""),"-")</f>
        <v>-</v>
      </c>
      <c r="T17" s="2" t="str">
        <f ca="1">IFERROR(__xludf.DUMMYFUNCTION("""COMPUTED_VALUE"""),"-")</f>
        <v>-</v>
      </c>
      <c r="U17" s="2">
        <f ca="1">IFERROR(__xludf.DUMMYFUNCTION("""COMPUTED_VALUE"""),10)</f>
        <v>10</v>
      </c>
      <c r="V17" s="2">
        <f ca="1">IFERROR(__xludf.DUMMYFUNCTION("""COMPUTED_VALUE"""),2500)</f>
        <v>2500</v>
      </c>
      <c r="W17" s="2">
        <f ca="1">IFERROR(__xludf.DUMMYFUNCTION("""COMPUTED_VALUE"""),13)</f>
        <v>13</v>
      </c>
      <c r="X17" s="2">
        <f ca="1">IFERROR(__xludf.DUMMYFUNCTION("""COMPUTED_VALUE"""),2500)</f>
        <v>2500</v>
      </c>
      <c r="Y17" s="2" t="str">
        <f ca="1">IFERROR(__xludf.DUMMYFUNCTION("""COMPUTED_VALUE"""),"ja")</f>
        <v>ja</v>
      </c>
      <c r="Z17" s="2" t="str">
        <f ca="1">IFERROR(__xludf.DUMMYFUNCTION("""COMPUTED_VALUE"""),"se Nybolig København SV ")</f>
        <v xml:space="preserve">se Nybolig København SV </v>
      </c>
      <c r="AA17" s="2"/>
      <c r="AB17" s="2" t="str">
        <f ca="1">IFERROR(__xludf.DUMMYFUNCTION("""COMPUTED_VALUE"""),"x")</f>
        <v>x</v>
      </c>
      <c r="AC17" s="2" t="str">
        <f ca="1">IFERROR(__xludf.DUMMYFUNCTION("""COMPUTED_VALUE"""),"x")</f>
        <v>x</v>
      </c>
    </row>
    <row r="18" spans="1:29" ht="15.75" customHeight="1">
      <c r="A18" s="2" t="str">
        <f ca="1">IFERROR(__xludf.DUMMYFUNCTION("""COMPUTED_VALUE"""),"Christian")</f>
        <v>Christian</v>
      </c>
      <c r="B18" s="2" t="str">
        <f ca="1">IFERROR(__xludf.DUMMYFUNCTION("""COMPUTED_VALUE"""),"Nybolig Brønshøj A/S")</f>
        <v>Nybolig Brønshøj A/S</v>
      </c>
      <c r="C18" s="2">
        <f ca="1">IFERROR(__xludf.DUMMYFUNCTION("""COMPUTED_VALUE"""),33591470)</f>
        <v>33591470</v>
      </c>
      <c r="D18" s="2" t="str">
        <f ca="1">IFERROR(__xludf.DUMMYFUNCTION("""COMPUTED_VALUE"""),"MG-SJ: 3.499,-")</f>
        <v>MG-SJ: 3.499,-</v>
      </c>
      <c r="E18" s="2">
        <f ca="1">IFERROR(__xludf.DUMMYFUNCTION("""COMPUTED_VALUE"""),1202)</f>
        <v>1202</v>
      </c>
      <c r="F18" s="2" t="str">
        <f ca="1">IFERROR(__xludf.DUMMYFUNCTION("""COMPUTED_VALUE"""),"Michael Sandbeck")</f>
        <v>Michael Sandbeck</v>
      </c>
      <c r="G18" s="2" t="str">
        <f ca="1">IFERROR(__xludf.DUMMYFUNCTION("""COMPUTED_VALUE"""),"msz@nybolig.dk")</f>
        <v>msz@nybolig.dk</v>
      </c>
      <c r="H18" s="2"/>
      <c r="I18" s="2" t="str">
        <f ca="1">IFERROR(__xludf.DUMMYFUNCTION("""COMPUTED_VALUE"""),"Frederikssundsvej 156 A")</f>
        <v>Frederikssundsvej 156 A</v>
      </c>
      <c r="J18" s="2">
        <f ca="1">IFERROR(__xludf.DUMMYFUNCTION("""COMPUTED_VALUE"""),2700)</f>
        <v>2700</v>
      </c>
      <c r="K18" s="2" t="str">
        <f ca="1">IFERROR(__xludf.DUMMYFUNCTION("""COMPUTED_VALUE"""),"Brønshøj")</f>
        <v>Brønshøj</v>
      </c>
      <c r="L18" s="2" t="str">
        <f ca="1">IFERROR(__xludf.DUMMYFUNCTION("""COMPUTED_VALUE"""),"København")</f>
        <v>København</v>
      </c>
      <c r="M18" s="2" t="str">
        <f ca="1">IFERROR(__xludf.DUMMYFUNCTION("""COMPUTED_VALUE"""),"København By")</f>
        <v>København By</v>
      </c>
      <c r="N18" s="2" t="str">
        <f ca="1">IFERROR(__xludf.DUMMYFUNCTION("""COMPUTED_VALUE"""),"Hovedstaden")</f>
        <v>Hovedstaden</v>
      </c>
      <c r="O18" s="2" t="str">
        <f ca="1">IFERROR(__xludf.DUMMYFUNCTION("""COMPUTED_VALUE"""),"3826 2880")</f>
        <v>3826 2880</v>
      </c>
      <c r="P18" s="2" t="str">
        <f ca="1">IFERROR(__xludf.DUMMYFUNCTION("""COMPUTED_VALUE"""),"2700@nybolig.dk")</f>
        <v>2700@nybolig.dk</v>
      </c>
      <c r="Q18" s="27" t="str">
        <f ca="1">IFERROR(__xludf.DUMMYFUNCTION("""COMPUTED_VALUE"""),"https://www.boliga.dk/maegler/724")</f>
        <v>https://www.boliga.dk/maegler/724</v>
      </c>
      <c r="R18" s="2" t="str">
        <f ca="1">IFERROR(__xludf.DUMMYFUNCTION("""COMPUTED_VALUE"""),"-")</f>
        <v>-</v>
      </c>
      <c r="S18" s="2" t="str">
        <f ca="1">IFERROR(__xludf.DUMMYFUNCTION("""COMPUTED_VALUE"""),"-")</f>
        <v>-</v>
      </c>
      <c r="T18" s="2" t="str">
        <f ca="1">IFERROR(__xludf.DUMMYFUNCTION("""COMPUTED_VALUE"""),"-")</f>
        <v>-</v>
      </c>
      <c r="U18" s="2">
        <f ca="1">IFERROR(__xludf.DUMMYFUNCTION("""COMPUTED_VALUE"""),11)</f>
        <v>11</v>
      </c>
      <c r="V18" s="2" t="str">
        <f ca="1">IFERROR(__xludf.DUMMYFUNCTION("""COMPUTED_VALUE"""),"2720, 2610, 2700")</f>
        <v>2720, 2610, 2700</v>
      </c>
      <c r="W18" s="2">
        <f ca="1">IFERROR(__xludf.DUMMYFUNCTION("""COMPUTED_VALUE"""),17)</f>
        <v>17</v>
      </c>
      <c r="X18" s="2" t="str">
        <f ca="1">IFERROR(__xludf.DUMMYFUNCTION("""COMPUTED_VALUE"""),"2720, 2730, 2700, 2000, 2880, 2400")</f>
        <v>2720, 2730, 2700, 2000, 2880, 2400</v>
      </c>
      <c r="Y18" s="2" t="str">
        <f ca="1">IFERROR(__xludf.DUMMYFUNCTION("""COMPUTED_VALUE"""),"ja")</f>
        <v>ja</v>
      </c>
      <c r="Z18" s="2" t="str">
        <f ca="1">IFERROR(__xludf.DUMMYFUNCTION("""COMPUTED_VALUE"""),"se Nybolig Amager - Øresundsvej A/S")</f>
        <v>se Nybolig Amager - Øresundsvej A/S</v>
      </c>
      <c r="AA18" s="2"/>
      <c r="AB18" s="2" t="str">
        <f ca="1">IFERROR(__xludf.DUMMYFUNCTION("""COMPUTED_VALUE"""),"x")</f>
        <v>x</v>
      </c>
      <c r="AC18" s="2" t="str">
        <f ca="1">IFERROR(__xludf.DUMMYFUNCTION("""COMPUTED_VALUE"""),"x")</f>
        <v>x</v>
      </c>
    </row>
    <row r="19" spans="1:29" ht="15.75" customHeight="1">
      <c r="A19" s="2" t="str">
        <f ca="1">IFERROR(__xludf.DUMMYFUNCTION("""COMPUTED_VALUE"""),"Christian")</f>
        <v>Christian</v>
      </c>
      <c r="B19" s="2" t="str">
        <f ca="1">IFERROR(__xludf.DUMMYFUNCTION("""COMPUTED_VALUE"""),"Nybolig Jesper Hufeldt - Vanløse")</f>
        <v>Nybolig Jesper Hufeldt - Vanløse</v>
      </c>
      <c r="C19" s="2"/>
      <c r="D19" s="2" t="str">
        <f ca="1">IFERROR(__xludf.DUMMYFUNCTION("""COMPUTED_VALUE"""),"MG-SJ: 3.499,-")</f>
        <v>MG-SJ: 3.499,-</v>
      </c>
      <c r="E19" s="2">
        <f ca="1">IFERROR(__xludf.DUMMYFUNCTION("""COMPUTED_VALUE"""),1202)</f>
        <v>1202</v>
      </c>
      <c r="F19" s="2"/>
      <c r="G19" s="2"/>
      <c r="H19" s="2"/>
      <c r="I19" s="2" t="str">
        <f ca="1">IFERROR(__xludf.DUMMYFUNCTION("""COMPUTED_VALUE"""),"Jernbane Alle 31")</f>
        <v>Jernbane Alle 31</v>
      </c>
      <c r="J19" s="2">
        <f ca="1">IFERROR(__xludf.DUMMYFUNCTION("""COMPUTED_VALUE"""),2720)</f>
        <v>2720</v>
      </c>
      <c r="K19" s="2" t="str">
        <f ca="1">IFERROR(__xludf.DUMMYFUNCTION("""COMPUTED_VALUE"""),"Vanløse")</f>
        <v>Vanløse</v>
      </c>
      <c r="L19" s="2" t="str">
        <f ca="1">IFERROR(__xludf.DUMMYFUNCTION("""COMPUTED_VALUE"""),"København")</f>
        <v>København</v>
      </c>
      <c r="M19" s="2" t="str">
        <f ca="1">IFERROR(__xludf.DUMMYFUNCTION("""COMPUTED_VALUE"""),"København By")</f>
        <v>København By</v>
      </c>
      <c r="N19" s="2" t="str">
        <f ca="1">IFERROR(__xludf.DUMMYFUNCTION("""COMPUTED_VALUE"""),"Hovedstaden")</f>
        <v>Hovedstaden</v>
      </c>
      <c r="O19" s="2" t="str">
        <f ca="1">IFERROR(__xludf.DUMMYFUNCTION("""COMPUTED_VALUE"""),"3877 7800")</f>
        <v>3877 7800</v>
      </c>
      <c r="P19" s="2" t="str">
        <f ca="1">IFERROR(__xludf.DUMMYFUNCTION("""COMPUTED_VALUE"""),"2720@nybolig.dk")</f>
        <v>2720@nybolig.dk</v>
      </c>
      <c r="Q19" s="27" t="str">
        <f ca="1">IFERROR(__xludf.DUMMYFUNCTION("""COMPUTED_VALUE"""),"https://www.boliga.dk/maegler/747")</f>
        <v>https://www.boliga.dk/maegler/747</v>
      </c>
      <c r="R19" s="2" t="str">
        <f ca="1">IFERROR(__xludf.DUMMYFUNCTION("""COMPUTED_VALUE"""),"-")</f>
        <v>-</v>
      </c>
      <c r="S19" s="2" t="str">
        <f ca="1">IFERROR(__xludf.DUMMYFUNCTION("""COMPUTED_VALUE"""),"-")</f>
        <v>-</v>
      </c>
      <c r="T19" s="2" t="str">
        <f ca="1">IFERROR(__xludf.DUMMYFUNCTION("""COMPUTED_VALUE"""),"-")</f>
        <v>-</v>
      </c>
      <c r="U19" s="2">
        <f ca="1">IFERROR(__xludf.DUMMYFUNCTION("""COMPUTED_VALUE"""),5)</f>
        <v>5</v>
      </c>
      <c r="V19" s="2">
        <f ca="1">IFERROR(__xludf.DUMMYFUNCTION("""COMPUTED_VALUE"""),2720)</f>
        <v>2720</v>
      </c>
      <c r="W19" s="2">
        <f ca="1">IFERROR(__xludf.DUMMYFUNCTION("""COMPUTED_VALUE"""),8)</f>
        <v>8</v>
      </c>
      <c r="X19" s="2" t="str">
        <f ca="1">IFERROR(__xludf.DUMMYFUNCTION("""COMPUTED_VALUE"""),"2720, 2700")</f>
        <v>2720, 2700</v>
      </c>
      <c r="Y19" s="2" t="str">
        <f ca="1">IFERROR(__xludf.DUMMYFUNCTION("""COMPUTED_VALUE"""),"ja")</f>
        <v>ja</v>
      </c>
      <c r="Z19" s="2" t="str">
        <f ca="1">IFERROR(__xludf.DUMMYFUNCTION("""COMPUTED_VALUE"""),"han er klar - sendt mail 15/6")</f>
        <v>han er klar - sendt mail 15/6</v>
      </c>
      <c r="AA19" s="2"/>
      <c r="AB19" s="2" t="str">
        <f ca="1">IFERROR(__xludf.DUMMYFUNCTION("""COMPUTED_VALUE"""),"x")</f>
        <v>x</v>
      </c>
      <c r="AC19" s="2"/>
    </row>
    <row r="20" spans="1:29" ht="15.75" customHeight="1">
      <c r="A20" s="2" t="str">
        <f ca="1">IFERROR(__xludf.DUMMYFUNCTION("""COMPUTED_VALUE"""),"Christian")</f>
        <v>Christian</v>
      </c>
      <c r="B20" s="2" t="str">
        <f ca="1">IFERROR(__xludf.DUMMYFUNCTION("""COMPUTED_VALUE"""),"Nybolig Herlev")</f>
        <v>Nybolig Herlev</v>
      </c>
      <c r="C20" s="2">
        <f ca="1">IFERROR(__xludf.DUMMYFUNCTION("""COMPUTED_VALUE"""),41477962)</f>
        <v>41477962</v>
      </c>
      <c r="D20" s="2" t="str">
        <f ca="1">IFERROR(__xludf.DUMMYFUNCTION("""COMPUTED_VALUE"""),"MG-SJ: 3.499,-")</f>
        <v>MG-SJ: 3.499,-</v>
      </c>
      <c r="E20" s="2">
        <f ca="1">IFERROR(__xludf.DUMMYFUNCTION("""COMPUTED_VALUE"""),1202)</f>
        <v>1202</v>
      </c>
      <c r="F20" s="2" t="str">
        <f ca="1">IFERROR(__xludf.DUMMYFUNCTION("""COMPUTED_VALUE"""),"Jannick Schønemann")</f>
        <v>Jannick Schønemann</v>
      </c>
      <c r="G20" s="2" t="str">
        <f ca="1">IFERROR(__xludf.DUMMYFUNCTION("""COMPUTED_VALUE"""),"jan@nybolig.dk")</f>
        <v>jan@nybolig.dk</v>
      </c>
      <c r="H20" s="2"/>
      <c r="I20" s="2" t="str">
        <f ca="1">IFERROR(__xludf.DUMMYFUNCTION("""COMPUTED_VALUE"""),"Herlev Bygade 18")</f>
        <v>Herlev Bygade 18</v>
      </c>
      <c r="J20" s="2">
        <f ca="1">IFERROR(__xludf.DUMMYFUNCTION("""COMPUTED_VALUE"""),2730)</f>
        <v>2730</v>
      </c>
      <c r="K20" s="2" t="str">
        <f ca="1">IFERROR(__xludf.DUMMYFUNCTION("""COMPUTED_VALUE"""),"Herlev")</f>
        <v>Herlev</v>
      </c>
      <c r="L20" s="2" t="str">
        <f ca="1">IFERROR(__xludf.DUMMYFUNCTION("""COMPUTED_VALUE"""),"Herlev")</f>
        <v>Herlev</v>
      </c>
      <c r="M20" s="2" t="str">
        <f ca="1">IFERROR(__xludf.DUMMYFUNCTION("""COMPUTED_VALUE"""),"Københavns omegn")</f>
        <v>Københavns omegn</v>
      </c>
      <c r="N20" s="2" t="str">
        <f ca="1">IFERROR(__xludf.DUMMYFUNCTION("""COMPUTED_VALUE"""),"Hovedstaden")</f>
        <v>Hovedstaden</v>
      </c>
      <c r="O20" s="2" t="str">
        <f ca="1">IFERROR(__xludf.DUMMYFUNCTION("""COMPUTED_VALUE"""),"4494 0500")</f>
        <v>4494 0500</v>
      </c>
      <c r="P20" s="2" t="str">
        <f ca="1">IFERROR(__xludf.DUMMYFUNCTION("""COMPUTED_VALUE"""),"2730@nybolig.dk")</f>
        <v>2730@nybolig.dk</v>
      </c>
      <c r="Q20" s="27" t="str">
        <f ca="1">IFERROR(__xludf.DUMMYFUNCTION("""COMPUTED_VALUE"""),"https://www.boliga.dk/maegler/47")</f>
        <v>https://www.boliga.dk/maegler/47</v>
      </c>
      <c r="R20" s="2" t="str">
        <f ca="1">IFERROR(__xludf.DUMMYFUNCTION("""COMPUTED_VALUE"""),"-")</f>
        <v>-</v>
      </c>
      <c r="S20" s="2" t="str">
        <f ca="1">IFERROR(__xludf.DUMMYFUNCTION("""COMPUTED_VALUE"""),"-")</f>
        <v>-</v>
      </c>
      <c r="T20" s="2" t="str">
        <f ca="1">IFERROR(__xludf.DUMMYFUNCTION("""COMPUTED_VALUE"""),"-")</f>
        <v>-</v>
      </c>
      <c r="U20" s="2">
        <f ca="1">IFERROR(__xludf.DUMMYFUNCTION("""COMPUTED_VALUE"""),7)</f>
        <v>7</v>
      </c>
      <c r="V20" s="2">
        <f ca="1">IFERROR(__xludf.DUMMYFUNCTION("""COMPUTED_VALUE"""),2730)</f>
        <v>2730</v>
      </c>
      <c r="W20" s="2">
        <f ca="1">IFERROR(__xludf.DUMMYFUNCTION("""COMPUTED_VALUE"""),11)</f>
        <v>11</v>
      </c>
      <c r="X20" s="2">
        <f ca="1">IFERROR(__xludf.DUMMYFUNCTION("""COMPUTED_VALUE"""),2730)</f>
        <v>2730</v>
      </c>
      <c r="Y20" s="2" t="str">
        <f ca="1">IFERROR(__xludf.DUMMYFUNCTION("""COMPUTED_VALUE"""),"ja")</f>
        <v>ja</v>
      </c>
      <c r="Z20" s="2" t="str">
        <f ca="1">IFERROR(__xludf.DUMMYFUNCTION("""COMPUTED_VALUE"""),"se bagsværd")</f>
        <v>se bagsværd</v>
      </c>
      <c r="AA20" s="2"/>
      <c r="AB20" s="2" t="str">
        <f ca="1">IFERROR(__xludf.DUMMYFUNCTION("""COMPUTED_VALUE"""),"x")</f>
        <v>x</v>
      </c>
      <c r="AC20" s="2" t="str">
        <f ca="1">IFERROR(__xludf.DUMMYFUNCTION("""COMPUTED_VALUE"""),"x")</f>
        <v>x</v>
      </c>
    </row>
    <row r="21" spans="1:29" ht="15.75" customHeight="1">
      <c r="A21" s="2" t="str">
        <f ca="1">IFERROR(__xludf.DUMMYFUNCTION("""COMPUTED_VALUE"""),"Christian")</f>
        <v>Christian</v>
      </c>
      <c r="B21" s="2" t="str">
        <f ca="1">IFERROR(__xludf.DUMMYFUNCTION("""COMPUTED_VALUE"""),"Nybolig Ballerup/Smørum")</f>
        <v>Nybolig Ballerup/Smørum</v>
      </c>
      <c r="C21" s="2">
        <f ca="1">IFERROR(__xludf.DUMMYFUNCTION("""COMPUTED_VALUE"""),40538755)</f>
        <v>40538755</v>
      </c>
      <c r="D21" s="2" t="str">
        <f ca="1">IFERROR(__xludf.DUMMYFUNCTION("""COMPUTED_VALUE"""),"MG-SJ: 3.499,-")</f>
        <v>MG-SJ: 3.499,-</v>
      </c>
      <c r="E21" s="2">
        <f ca="1">IFERROR(__xludf.DUMMYFUNCTION("""COMPUTED_VALUE"""),1202)</f>
        <v>1202</v>
      </c>
      <c r="F21" s="2" t="str">
        <f ca="1">IFERROR(__xludf.DUMMYFUNCTION("""COMPUTED_VALUE"""),"Nicklaes Skou Andersen")</f>
        <v>Nicklaes Skou Andersen</v>
      </c>
      <c r="G21" s="2" t="str">
        <f ca="1">IFERROR(__xludf.DUMMYFUNCTION("""COMPUTED_VALUE"""),"na@nybolig.dk")</f>
        <v>na@nybolig.dk</v>
      </c>
      <c r="H21" s="2"/>
      <c r="I21" s="2" t="str">
        <f ca="1">IFERROR(__xludf.DUMMYFUNCTION("""COMPUTED_VALUE"""),"Hold-An Vej 12")</f>
        <v>Hold-An Vej 12</v>
      </c>
      <c r="J21" s="2">
        <f ca="1">IFERROR(__xludf.DUMMYFUNCTION("""COMPUTED_VALUE"""),2750)</f>
        <v>2750</v>
      </c>
      <c r="K21" s="2" t="str">
        <f ca="1">IFERROR(__xludf.DUMMYFUNCTION("""COMPUTED_VALUE"""),"Ballerup")</f>
        <v>Ballerup</v>
      </c>
      <c r="L21" s="2" t="str">
        <f ca="1">IFERROR(__xludf.DUMMYFUNCTION("""COMPUTED_VALUE"""),"Ballerup")</f>
        <v>Ballerup</v>
      </c>
      <c r="M21" s="2" t="str">
        <f ca="1">IFERROR(__xludf.DUMMYFUNCTION("""COMPUTED_VALUE"""),"Københavns omegn")</f>
        <v>Københavns omegn</v>
      </c>
      <c r="N21" s="2" t="str">
        <f ca="1">IFERROR(__xludf.DUMMYFUNCTION("""COMPUTED_VALUE"""),"Hovedstaden")</f>
        <v>Hovedstaden</v>
      </c>
      <c r="O21" s="2" t="str">
        <f ca="1">IFERROR(__xludf.DUMMYFUNCTION("""COMPUTED_VALUE"""),"4466 8866")</f>
        <v>4466 8866</v>
      </c>
      <c r="P21" s="2" t="str">
        <f ca="1">IFERROR(__xludf.DUMMYFUNCTION("""COMPUTED_VALUE"""),"2750@nybolig.dk")</f>
        <v>2750@nybolig.dk</v>
      </c>
      <c r="Q21" s="27" t="str">
        <f ca="1">IFERROR(__xludf.DUMMYFUNCTION("""COMPUTED_VALUE"""),"https://www.boliga.dk/maegler/713")</f>
        <v>https://www.boliga.dk/maegler/713</v>
      </c>
      <c r="R21" s="2" t="str">
        <f ca="1">IFERROR(__xludf.DUMMYFUNCTION("""COMPUTED_VALUE"""),"-")</f>
        <v>-</v>
      </c>
      <c r="S21" s="2" t="str">
        <f ca="1">IFERROR(__xludf.DUMMYFUNCTION("""COMPUTED_VALUE"""),"-")</f>
        <v>-</v>
      </c>
      <c r="T21" s="2" t="str">
        <f ca="1">IFERROR(__xludf.DUMMYFUNCTION("""COMPUTED_VALUE"""),"-")</f>
        <v>-</v>
      </c>
      <c r="U21" s="2">
        <f ca="1">IFERROR(__xludf.DUMMYFUNCTION("""COMPUTED_VALUE"""),11)</f>
        <v>11</v>
      </c>
      <c r="V21" s="2" t="str">
        <f ca="1">IFERROR(__xludf.DUMMYFUNCTION("""COMPUTED_VALUE"""),"2750, 4700, 2760, 2765, 3200")</f>
        <v>2750, 4700, 2760, 2765, 3200</v>
      </c>
      <c r="W21" s="2">
        <f ca="1">IFERROR(__xludf.DUMMYFUNCTION("""COMPUTED_VALUE"""),20)</f>
        <v>20</v>
      </c>
      <c r="X21" s="2" t="str">
        <f ca="1">IFERROR(__xludf.DUMMYFUNCTION("""COMPUTED_VALUE"""),"2750, 2760, 2765")</f>
        <v>2750, 2760, 2765</v>
      </c>
      <c r="Y21" s="2" t="str">
        <f ca="1">IFERROR(__xludf.DUMMYFUNCTION("""COMPUTED_VALUE"""),"ja")</f>
        <v>ja</v>
      </c>
      <c r="Z21" s="2" t="str">
        <f ca="1">IFERROR(__xludf.DUMMYFUNCTION("""COMPUTED_VALUE"""),"han er klar - vil også meget gerne være PM, siger han sælger mere en DB")</f>
        <v>han er klar - vil også meget gerne være PM, siger han sælger mere en DB</v>
      </c>
      <c r="AA21" s="2"/>
      <c r="AB21" s="2" t="str">
        <f ca="1">IFERROR(__xludf.DUMMYFUNCTION("""COMPUTED_VALUE"""),"x")</f>
        <v>x</v>
      </c>
      <c r="AC21" s="2" t="str">
        <f ca="1">IFERROR(__xludf.DUMMYFUNCTION("""COMPUTED_VALUE"""),"x")</f>
        <v>x</v>
      </c>
    </row>
    <row r="22" spans="1:29" ht="15.75" customHeight="1">
      <c r="A22" s="2" t="str">
        <f ca="1">IFERROR(__xludf.DUMMYFUNCTION("""COMPUTED_VALUE"""),"Christian")</f>
        <v>Christian</v>
      </c>
      <c r="B22" s="2" t="str">
        <f ca="1">IFERROR(__xludf.DUMMYFUNCTION("""COMPUTED_VALUE"""),"Nybolig Kastrup &amp; Tårnby")</f>
        <v>Nybolig Kastrup &amp; Tårnby</v>
      </c>
      <c r="C22" s="2">
        <f ca="1">IFERROR(__xludf.DUMMYFUNCTION("""COMPUTED_VALUE"""),41056703)</f>
        <v>41056703</v>
      </c>
      <c r="D22" s="2" t="str">
        <f ca="1">IFERROR(__xludf.DUMMYFUNCTION("""COMPUTED_VALUE"""),"MG-SJ: 3.499,-")</f>
        <v>MG-SJ: 3.499,-</v>
      </c>
      <c r="E22" s="2">
        <f ca="1">IFERROR(__xludf.DUMMYFUNCTION("""COMPUTED_VALUE"""),1202)</f>
        <v>1202</v>
      </c>
      <c r="F22" s="2" t="str">
        <f ca="1">IFERROR(__xludf.DUMMYFUNCTION("""COMPUTED_VALUE"""),"Amanda Moe")</f>
        <v>Amanda Moe</v>
      </c>
      <c r="G22" s="2" t="str">
        <f ca="1">IFERROR(__xludf.DUMMYFUNCTION("""COMPUTED_VALUE"""),"amm@nybolig.dk")</f>
        <v>amm@nybolig.dk</v>
      </c>
      <c r="H22" s="2"/>
      <c r="I22" s="2" t="str">
        <f ca="1">IFERROR(__xludf.DUMMYFUNCTION("""COMPUTED_VALUE"""),"Kongelundsvejen 305")</f>
        <v>Kongelundsvejen 305</v>
      </c>
      <c r="J22" s="2">
        <f ca="1">IFERROR(__xludf.DUMMYFUNCTION("""COMPUTED_VALUE"""),2770)</f>
        <v>2770</v>
      </c>
      <c r="K22" s="2" t="str">
        <f ca="1">IFERROR(__xludf.DUMMYFUNCTION("""COMPUTED_VALUE"""),"Kastrup")</f>
        <v>Kastrup</v>
      </c>
      <c r="L22" s="2" t="str">
        <f ca="1">IFERROR(__xludf.DUMMYFUNCTION("""COMPUTED_VALUE"""),"Tårnby")</f>
        <v>Tårnby</v>
      </c>
      <c r="M22" s="2" t="str">
        <f ca="1">IFERROR(__xludf.DUMMYFUNCTION("""COMPUTED_VALUE"""),"København By")</f>
        <v>København By</v>
      </c>
      <c r="N22" s="2" t="str">
        <f ca="1">IFERROR(__xludf.DUMMYFUNCTION("""COMPUTED_VALUE"""),"Hovedstaden")</f>
        <v>Hovedstaden</v>
      </c>
      <c r="O22" s="2" t="str">
        <f ca="1">IFERROR(__xludf.DUMMYFUNCTION("""COMPUTED_VALUE"""),"3255 2200")</f>
        <v>3255 2200</v>
      </c>
      <c r="P22" s="2" t="str">
        <f ca="1">IFERROR(__xludf.DUMMYFUNCTION("""COMPUTED_VALUE"""),"2770@nybolig.dk")</f>
        <v>2770@nybolig.dk</v>
      </c>
      <c r="Q22" s="27" t="str">
        <f ca="1">IFERROR(__xludf.DUMMYFUNCTION("""COMPUTED_VALUE"""),"https://www.boliga.dk/maegler/17488")</f>
        <v>https://www.boliga.dk/maegler/17488</v>
      </c>
      <c r="R22" s="2" t="str">
        <f ca="1">IFERROR(__xludf.DUMMYFUNCTION("""COMPUTED_VALUE"""),"-")</f>
        <v>-</v>
      </c>
      <c r="S22" s="2" t="str">
        <f ca="1">IFERROR(__xludf.DUMMYFUNCTION("""COMPUTED_VALUE"""),"-")</f>
        <v>-</v>
      </c>
      <c r="T22" s="2" t="str">
        <f ca="1">IFERROR(__xludf.DUMMYFUNCTION("""COMPUTED_VALUE"""),"-")</f>
        <v>-</v>
      </c>
      <c r="U22" s="2">
        <f ca="1">IFERROR(__xludf.DUMMYFUNCTION("""COMPUTED_VALUE"""),9)</f>
        <v>9</v>
      </c>
      <c r="V22" s="2" t="str">
        <f ca="1">IFERROR(__xludf.DUMMYFUNCTION("""COMPUTED_VALUE"""),"2791, 2300, 2770")</f>
        <v>2791, 2300, 2770</v>
      </c>
      <c r="W22" s="2">
        <f ca="1">IFERROR(__xludf.DUMMYFUNCTION("""COMPUTED_VALUE"""),26)</f>
        <v>26</v>
      </c>
      <c r="X22" s="2" t="str">
        <f ca="1">IFERROR(__xludf.DUMMYFUNCTION("""COMPUTED_VALUE"""),"2791, 2300, 2770")</f>
        <v>2791, 2300, 2770</v>
      </c>
      <c r="Y22" s="2" t="str">
        <f ca="1">IFERROR(__xludf.DUMMYFUNCTION("""COMPUTED_VALUE"""),"ja")</f>
        <v>ja</v>
      </c>
      <c r="Z22" s="2" t="str">
        <f ca="1">IFERROR(__xludf.DUMMYFUNCTION("""COMPUTED_VALUE"""),"se dragør")</f>
        <v>se dragør</v>
      </c>
      <c r="AA22" s="2"/>
      <c r="AB22" s="2" t="str">
        <f ca="1">IFERROR(__xludf.DUMMYFUNCTION("""COMPUTED_VALUE"""),"x")</f>
        <v>x</v>
      </c>
      <c r="AC22" s="2" t="str">
        <f ca="1">IFERROR(__xludf.DUMMYFUNCTION("""COMPUTED_VALUE"""),"x")</f>
        <v>x</v>
      </c>
    </row>
    <row r="23" spans="1:29" ht="15.75" customHeight="1">
      <c r="A23" s="2" t="str">
        <f ca="1">IFERROR(__xludf.DUMMYFUNCTION("""COMPUTED_VALUE"""),"Christian")</f>
        <v>Christian</v>
      </c>
      <c r="B23" s="2" t="str">
        <f ca="1">IFERROR(__xludf.DUMMYFUNCTION("""COMPUTED_VALUE"""),"Nybolig Dragør")</f>
        <v>Nybolig Dragør</v>
      </c>
      <c r="C23" s="2">
        <f ca="1">IFERROR(__xludf.DUMMYFUNCTION("""COMPUTED_VALUE"""),37680931)</f>
        <v>37680931</v>
      </c>
      <c r="D23" s="2" t="str">
        <f ca="1">IFERROR(__xludf.DUMMYFUNCTION("""COMPUTED_VALUE"""),"MG-SJ: 3.499,-")</f>
        <v>MG-SJ: 3.499,-</v>
      </c>
      <c r="E23" s="2">
        <f ca="1">IFERROR(__xludf.DUMMYFUNCTION("""COMPUTED_VALUE"""),1202)</f>
        <v>1202</v>
      </c>
      <c r="F23" s="2" t="str">
        <f ca="1">IFERROR(__xludf.DUMMYFUNCTION("""COMPUTED_VALUE"""),"Amanda Moe")</f>
        <v>Amanda Moe</v>
      </c>
      <c r="G23" s="2" t="str">
        <f ca="1">IFERROR(__xludf.DUMMYFUNCTION("""COMPUTED_VALUE"""),"amm@nybolig.dk")</f>
        <v>amm@nybolig.dk</v>
      </c>
      <c r="H23" s="2"/>
      <c r="I23" s="2" t="str">
        <f ca="1">IFERROR(__xludf.DUMMYFUNCTION("""COMPUTED_VALUE"""),"Dragørhjørnet 10")</f>
        <v>Dragørhjørnet 10</v>
      </c>
      <c r="J23" s="2">
        <f ca="1">IFERROR(__xludf.DUMMYFUNCTION("""COMPUTED_VALUE"""),2791)</f>
        <v>2791</v>
      </c>
      <c r="K23" s="2" t="str">
        <f ca="1">IFERROR(__xludf.DUMMYFUNCTION("""COMPUTED_VALUE"""),"Dragør")</f>
        <v>Dragør</v>
      </c>
      <c r="L23" s="2" t="str">
        <f ca="1">IFERROR(__xludf.DUMMYFUNCTION("""COMPUTED_VALUE"""),"Dragør")</f>
        <v>Dragør</v>
      </c>
      <c r="M23" s="2" t="str">
        <f ca="1">IFERROR(__xludf.DUMMYFUNCTION("""COMPUTED_VALUE"""),"København By")</f>
        <v>København By</v>
      </c>
      <c r="N23" s="2" t="str">
        <f ca="1">IFERROR(__xludf.DUMMYFUNCTION("""COMPUTED_VALUE"""),"Hovedstaden")</f>
        <v>Hovedstaden</v>
      </c>
      <c r="O23" s="2" t="str">
        <f ca="1">IFERROR(__xludf.DUMMYFUNCTION("""COMPUTED_VALUE"""),"3255 2200")</f>
        <v>3255 2200</v>
      </c>
      <c r="P23" s="2" t="str">
        <f ca="1">IFERROR(__xludf.DUMMYFUNCTION("""COMPUTED_VALUE"""),"2791@nybolig.dk")</f>
        <v>2791@nybolig.dk</v>
      </c>
      <c r="Q23" s="27" t="str">
        <f ca="1">IFERROR(__xludf.DUMMYFUNCTION("""COMPUTED_VALUE"""),"https://www.boliga.dk/maegler/102")</f>
        <v>https://www.boliga.dk/maegler/102</v>
      </c>
      <c r="R23" s="2" t="str">
        <f ca="1">IFERROR(__xludf.DUMMYFUNCTION("""COMPUTED_VALUE"""),"-")</f>
        <v>-</v>
      </c>
      <c r="S23" s="2" t="str">
        <f ca="1">IFERROR(__xludf.DUMMYFUNCTION("""COMPUTED_VALUE"""),"-")</f>
        <v>-</v>
      </c>
      <c r="T23" s="2" t="str">
        <f ca="1">IFERROR(__xludf.DUMMYFUNCTION("""COMPUTED_VALUE"""),"-")</f>
        <v>-</v>
      </c>
      <c r="U23" s="2">
        <f ca="1">IFERROR(__xludf.DUMMYFUNCTION("""COMPUTED_VALUE"""),8)</f>
        <v>8</v>
      </c>
      <c r="V23" s="2">
        <f ca="1">IFERROR(__xludf.DUMMYFUNCTION("""COMPUTED_VALUE"""),2791)</f>
        <v>2791</v>
      </c>
      <c r="W23" s="2">
        <f ca="1">IFERROR(__xludf.DUMMYFUNCTION("""COMPUTED_VALUE"""),10)</f>
        <v>10</v>
      </c>
      <c r="X23" s="2">
        <f ca="1">IFERROR(__xludf.DUMMYFUNCTION("""COMPUTED_VALUE"""),2791)</f>
        <v>2791</v>
      </c>
      <c r="Y23" s="2" t="str">
        <f ca="1">IFERROR(__xludf.DUMMYFUNCTION("""COMPUTED_VALUE"""),"ja")</f>
        <v>ja</v>
      </c>
      <c r="Z23" s="2" t="str">
        <f ca="1">IFERROR(__xludf.DUMMYFUNCTION("""COMPUTED_VALUE"""),"Amanda er klar, vil præsentere det for sine partnere idag 14/3")</f>
        <v>Amanda er klar, vil præsentere det for sine partnere idag 14/3</v>
      </c>
      <c r="AA23" s="2"/>
      <c r="AB23" s="2" t="str">
        <f ca="1">IFERROR(__xludf.DUMMYFUNCTION("""COMPUTED_VALUE"""),"x")</f>
        <v>x</v>
      </c>
      <c r="AC23" s="2" t="str">
        <f ca="1">IFERROR(__xludf.DUMMYFUNCTION("""COMPUTED_VALUE"""),"x")</f>
        <v>x</v>
      </c>
    </row>
    <row r="24" spans="1:29" ht="12.45">
      <c r="A24" s="2" t="str">
        <f ca="1">IFERROR(__xludf.DUMMYFUNCTION("""COMPUTED_VALUE"""),"Christian")</f>
        <v>Christian</v>
      </c>
      <c r="B24" s="2" t="str">
        <f ca="1">IFERROR(__xludf.DUMMYFUNCTION("""COMPUTED_VALUE"""),"Nybolig Holte - Trolle &amp; Hartmann")</f>
        <v>Nybolig Holte - Trolle &amp; Hartmann</v>
      </c>
      <c r="C24" s="2">
        <f ca="1">IFERROR(__xludf.DUMMYFUNCTION("""COMPUTED_VALUE"""),40810846)</f>
        <v>40810846</v>
      </c>
      <c r="D24" s="2" t="str">
        <f ca="1">IFERROR(__xludf.DUMMYFUNCTION("""COMPUTED_VALUE"""),"MG-SJ: 3.499,-")</f>
        <v>MG-SJ: 3.499,-</v>
      </c>
      <c r="E24" s="2">
        <f ca="1">IFERROR(__xludf.DUMMYFUNCTION("""COMPUTED_VALUE"""),1202)</f>
        <v>1202</v>
      </c>
      <c r="F24" s="2" t="str">
        <f ca="1">IFERROR(__xludf.DUMMYFUNCTION("""COMPUTED_VALUE"""),"Louise Hartmann")</f>
        <v>Louise Hartmann</v>
      </c>
      <c r="G24" s="2" t="str">
        <f ca="1">IFERROR(__xludf.DUMMYFUNCTION("""COMPUTED_VALUE"""),"lll@nybolig.dk")</f>
        <v>lll@nybolig.dk</v>
      </c>
      <c r="H24" s="2"/>
      <c r="I24" s="2" t="str">
        <f ca="1">IFERROR(__xludf.DUMMYFUNCTION("""COMPUTED_VALUE"""),"Kongevejen 340, st. th.")</f>
        <v>Kongevejen 340, st. th.</v>
      </c>
      <c r="J24" s="2">
        <f ca="1">IFERROR(__xludf.DUMMYFUNCTION("""COMPUTED_VALUE"""),2840)</f>
        <v>2840</v>
      </c>
      <c r="K24" s="2" t="str">
        <f ca="1">IFERROR(__xludf.DUMMYFUNCTION("""COMPUTED_VALUE"""),"Holte")</f>
        <v>Holte</v>
      </c>
      <c r="L24" s="2" t="str">
        <f ca="1">IFERROR(__xludf.DUMMYFUNCTION("""COMPUTED_VALUE"""),"Rudersdal")</f>
        <v>Rudersdal</v>
      </c>
      <c r="M24" s="2" t="str">
        <f ca="1">IFERROR(__xludf.DUMMYFUNCTION("""COMPUTED_VALUE"""),"Nordsjælland")</f>
        <v>Nordsjælland</v>
      </c>
      <c r="N24" s="2" t="str">
        <f ca="1">IFERROR(__xludf.DUMMYFUNCTION("""COMPUTED_VALUE"""),"Hovedstaden")</f>
        <v>Hovedstaden</v>
      </c>
      <c r="O24" s="2" t="str">
        <f ca="1">IFERROR(__xludf.DUMMYFUNCTION("""COMPUTED_VALUE"""),"4542 5500")</f>
        <v>4542 5500</v>
      </c>
      <c r="P24" s="2" t="str">
        <f ca="1">IFERROR(__xludf.DUMMYFUNCTION("""COMPUTED_VALUE"""),"2840@nybolig.dk")</f>
        <v>2840@nybolig.dk</v>
      </c>
      <c r="Q24" s="27" t="str">
        <f ca="1">IFERROR(__xludf.DUMMYFUNCTION("""COMPUTED_VALUE"""),"https://www.boliga.dk/maegler/154")</f>
        <v>https://www.boliga.dk/maegler/154</v>
      </c>
      <c r="R24" s="2" t="str">
        <f ca="1">IFERROR(__xludf.DUMMYFUNCTION("""COMPUTED_VALUE"""),"-")</f>
        <v>-</v>
      </c>
      <c r="S24" s="2" t="str">
        <f ca="1">IFERROR(__xludf.DUMMYFUNCTION("""COMPUTED_VALUE"""),"-")</f>
        <v>-</v>
      </c>
      <c r="T24" s="2" t="str">
        <f ca="1">IFERROR(__xludf.DUMMYFUNCTION("""COMPUTED_VALUE"""),"-")</f>
        <v>-</v>
      </c>
      <c r="U24" s="2">
        <f ca="1">IFERROR(__xludf.DUMMYFUNCTION("""COMPUTED_VALUE"""),18)</f>
        <v>18</v>
      </c>
      <c r="V24" s="2" t="str">
        <f ca="1">IFERROR(__xludf.DUMMYFUNCTION("""COMPUTED_VALUE"""),"2950, 2840, 3400, 2850")</f>
        <v>2950, 2840, 3400, 2850</v>
      </c>
      <c r="W24" s="2">
        <f ca="1">IFERROR(__xludf.DUMMYFUNCTION("""COMPUTED_VALUE"""),15)</f>
        <v>15</v>
      </c>
      <c r="X24" s="2" t="str">
        <f ca="1">IFERROR(__xludf.DUMMYFUNCTION("""COMPUTED_VALUE"""),"2950, 2800, 2840")</f>
        <v>2950, 2800, 2840</v>
      </c>
      <c r="Y24" s="2" t="str">
        <f ca="1">IFERROR(__xludf.DUMMYFUNCTION("""COMPUTED_VALUE"""),"ja")</f>
        <v>ja</v>
      </c>
      <c r="Z24" s="2" t="str">
        <f ca="1">IFERROR(__xludf.DUMMYFUNCTION("""COMPUTED_VALUE"""),"Louise er klar")</f>
        <v>Louise er klar</v>
      </c>
      <c r="AA24" s="2"/>
      <c r="AB24" s="2" t="str">
        <f ca="1">IFERROR(__xludf.DUMMYFUNCTION("""COMPUTED_VALUE"""),"x")</f>
        <v>x</v>
      </c>
      <c r="AC24" s="2" t="str">
        <f ca="1">IFERROR(__xludf.DUMMYFUNCTION("""COMPUTED_VALUE"""),"x")</f>
        <v>x</v>
      </c>
    </row>
    <row r="25" spans="1:29" ht="12.45">
      <c r="A25" s="2" t="str">
        <f ca="1">IFERROR(__xludf.DUMMYFUNCTION("""COMPUTED_VALUE"""),"Christian")</f>
        <v>Christian</v>
      </c>
      <c r="B25" s="2" t="str">
        <f ca="1">IFERROR(__xludf.DUMMYFUNCTION("""COMPUTED_VALUE"""),"Nybolig Bagsværd")</f>
        <v>Nybolig Bagsværd</v>
      </c>
      <c r="C25" s="2">
        <f ca="1">IFERROR(__xludf.DUMMYFUNCTION("""COMPUTED_VALUE"""),41477962)</f>
        <v>41477962</v>
      </c>
      <c r="D25" s="2" t="str">
        <f ca="1">IFERROR(__xludf.DUMMYFUNCTION("""COMPUTED_VALUE"""),"MG-SJ: 3.499,-")</f>
        <v>MG-SJ: 3.499,-</v>
      </c>
      <c r="E25" s="2">
        <f ca="1">IFERROR(__xludf.DUMMYFUNCTION("""COMPUTED_VALUE"""),1202)</f>
        <v>1202</v>
      </c>
      <c r="F25" s="2" t="str">
        <f ca="1">IFERROR(__xludf.DUMMYFUNCTION("""COMPUTED_VALUE"""),"Jannick Schønemann")</f>
        <v>Jannick Schønemann</v>
      </c>
      <c r="G25" s="2" t="str">
        <f ca="1">IFERROR(__xludf.DUMMYFUNCTION("""COMPUTED_VALUE"""),"jan@nybolig.dk")</f>
        <v>jan@nybolig.dk</v>
      </c>
      <c r="H25" s="2"/>
      <c r="I25" s="2" t="str">
        <f ca="1">IFERROR(__xludf.DUMMYFUNCTION("""COMPUTED_VALUE"""),"Bagsværd Hovedgade 83")</f>
        <v>Bagsværd Hovedgade 83</v>
      </c>
      <c r="J25" s="2">
        <f ca="1">IFERROR(__xludf.DUMMYFUNCTION("""COMPUTED_VALUE"""),2880)</f>
        <v>2880</v>
      </c>
      <c r="K25" s="2" t="str">
        <f ca="1">IFERROR(__xludf.DUMMYFUNCTION("""COMPUTED_VALUE"""),"Bagsværd")</f>
        <v>Bagsværd</v>
      </c>
      <c r="L25" s="2" t="str">
        <f ca="1">IFERROR(__xludf.DUMMYFUNCTION("""COMPUTED_VALUE"""),"Gladsaxe")</f>
        <v>Gladsaxe</v>
      </c>
      <c r="M25" s="2" t="str">
        <f ca="1">IFERROR(__xludf.DUMMYFUNCTION("""COMPUTED_VALUE"""),"Københavns omegn")</f>
        <v>Københavns omegn</v>
      </c>
      <c r="N25" s="2" t="str">
        <f ca="1">IFERROR(__xludf.DUMMYFUNCTION("""COMPUTED_VALUE"""),"Hovedstaden")</f>
        <v>Hovedstaden</v>
      </c>
      <c r="O25" s="2" t="str">
        <f ca="1">IFERROR(__xludf.DUMMYFUNCTION("""COMPUTED_VALUE"""),"4449 2121")</f>
        <v>4449 2121</v>
      </c>
      <c r="P25" s="2" t="str">
        <f ca="1">IFERROR(__xludf.DUMMYFUNCTION("""COMPUTED_VALUE"""),"2880@nybolig.dk")</f>
        <v>2880@nybolig.dk</v>
      </c>
      <c r="Q25" s="27" t="str">
        <f ca="1">IFERROR(__xludf.DUMMYFUNCTION("""COMPUTED_VALUE"""),"https://www.boliga.dk/maegler/313")</f>
        <v>https://www.boliga.dk/maegler/313</v>
      </c>
      <c r="R25" s="2" t="str">
        <f ca="1">IFERROR(__xludf.DUMMYFUNCTION("""COMPUTED_VALUE"""),"-")</f>
        <v>-</v>
      </c>
      <c r="S25" s="2" t="str">
        <f ca="1">IFERROR(__xludf.DUMMYFUNCTION("""COMPUTED_VALUE"""),"-")</f>
        <v>-</v>
      </c>
      <c r="T25" s="2" t="str">
        <f ca="1">IFERROR(__xludf.DUMMYFUNCTION("""COMPUTED_VALUE"""),"-")</f>
        <v>-</v>
      </c>
      <c r="U25" s="2">
        <f ca="1">IFERROR(__xludf.DUMMYFUNCTION("""COMPUTED_VALUE"""),9)</f>
        <v>9</v>
      </c>
      <c r="V25" s="2" t="str">
        <f ca="1">IFERROR(__xludf.DUMMYFUNCTION("""COMPUTED_VALUE"""),"2880, 2800")</f>
        <v>2880, 2800</v>
      </c>
      <c r="W25" s="2">
        <f ca="1">IFERROR(__xludf.DUMMYFUNCTION("""COMPUTED_VALUE"""),16)</f>
        <v>16</v>
      </c>
      <c r="X25" s="2" t="str">
        <f ca="1">IFERROR(__xludf.DUMMYFUNCTION("""COMPUTED_VALUE"""),"2860, 2880, 2800")</f>
        <v>2860, 2880, 2800</v>
      </c>
      <c r="Y25" s="2" t="str">
        <f ca="1">IFERROR(__xludf.DUMMYFUNCTION("""COMPUTED_VALUE"""),"ja")</f>
        <v>ja</v>
      </c>
      <c r="Z25" s="2" t="str">
        <f ca="1">IFERROR(__xludf.DUMMYFUNCTION("""COMPUTED_VALUE"""),"han er int. skal lige se betingelserne - har også herlev")</f>
        <v>han er int. skal lige se betingelserne - har også herlev</v>
      </c>
      <c r="AA25" s="2"/>
      <c r="AB25" s="2" t="str">
        <f ca="1">IFERROR(__xludf.DUMMYFUNCTION("""COMPUTED_VALUE"""),"x")</f>
        <v>x</v>
      </c>
      <c r="AC25" s="2" t="str">
        <f ca="1">IFERROR(__xludf.DUMMYFUNCTION("""COMPUTED_VALUE"""),"x")</f>
        <v>x</v>
      </c>
    </row>
    <row r="26" spans="1:29" ht="12.45">
      <c r="A26" s="2" t="str">
        <f ca="1">IFERROR(__xludf.DUMMYFUNCTION("""COMPUTED_VALUE"""),"Christian")</f>
        <v>Christian</v>
      </c>
      <c r="B26" s="2" t="str">
        <f ca="1">IFERROR(__xludf.DUMMYFUNCTION("""COMPUTED_VALUE"""),"Nybolig Hellerup")</f>
        <v>Nybolig Hellerup</v>
      </c>
      <c r="C26" s="2">
        <f ca="1">IFERROR(__xludf.DUMMYFUNCTION("""COMPUTED_VALUE"""),40167633)</f>
        <v>40167633</v>
      </c>
      <c r="D26" s="2" t="str">
        <f ca="1">IFERROR(__xludf.DUMMYFUNCTION("""COMPUTED_VALUE"""),"MG-SJ: 3.499,-")</f>
        <v>MG-SJ: 3.499,-</v>
      </c>
      <c r="E26" s="2">
        <f ca="1">IFERROR(__xludf.DUMMYFUNCTION("""COMPUTED_VALUE"""),1202)</f>
        <v>1202</v>
      </c>
      <c r="F26" s="2" t="str">
        <f ca="1">IFERROR(__xludf.DUMMYFUNCTION("""COMPUTED_VALUE"""),"Nikolaj Anker-Møller")</f>
        <v>Nikolaj Anker-Møller</v>
      </c>
      <c r="G26" s="2" t="str">
        <f ca="1">IFERROR(__xludf.DUMMYFUNCTION("""COMPUTED_VALUE"""),"nm@nybolig.dk")</f>
        <v>nm@nybolig.dk</v>
      </c>
      <c r="H26" s="2"/>
      <c r="I26" s="2" t="str">
        <f ca="1">IFERROR(__xludf.DUMMYFUNCTION("""COMPUTED_VALUE"""),"Strandvejen 130E")</f>
        <v>Strandvejen 130E</v>
      </c>
      <c r="J26" s="2">
        <f ca="1">IFERROR(__xludf.DUMMYFUNCTION("""COMPUTED_VALUE"""),2900)</f>
        <v>2900</v>
      </c>
      <c r="K26" s="2" t="str">
        <f ca="1">IFERROR(__xludf.DUMMYFUNCTION("""COMPUTED_VALUE"""),"Hellerup")</f>
        <v>Hellerup</v>
      </c>
      <c r="L26" s="2" t="str">
        <f ca="1">IFERROR(__xludf.DUMMYFUNCTION("""COMPUTED_VALUE"""),"Gentofte")</f>
        <v>Gentofte</v>
      </c>
      <c r="M26" s="2" t="str">
        <f ca="1">IFERROR(__xludf.DUMMYFUNCTION("""COMPUTED_VALUE"""),"Københavns omegn")</f>
        <v>Københavns omegn</v>
      </c>
      <c r="N26" s="2" t="str">
        <f ca="1">IFERROR(__xludf.DUMMYFUNCTION("""COMPUTED_VALUE"""),"Hovedstaden")</f>
        <v>Hovedstaden</v>
      </c>
      <c r="O26" s="2" t="str">
        <f ca="1">IFERROR(__xludf.DUMMYFUNCTION("""COMPUTED_VALUE"""),"3948 2900")</f>
        <v>3948 2900</v>
      </c>
      <c r="P26" s="2" t="str">
        <f ca="1">IFERROR(__xludf.DUMMYFUNCTION("""COMPUTED_VALUE"""),"2900@nybolig.dk")</f>
        <v>2900@nybolig.dk</v>
      </c>
      <c r="Q26" s="27" t="str">
        <f ca="1">IFERROR(__xludf.DUMMYFUNCTION("""COMPUTED_VALUE"""),"https://www.boliga.dk/maegler/558")</f>
        <v>https://www.boliga.dk/maegler/558</v>
      </c>
      <c r="R26" s="2" t="str">
        <f ca="1">IFERROR(__xludf.DUMMYFUNCTION("""COMPUTED_VALUE"""),"-")</f>
        <v>-</v>
      </c>
      <c r="S26" s="2" t="str">
        <f ca="1">IFERROR(__xludf.DUMMYFUNCTION("""COMPUTED_VALUE"""),"-")</f>
        <v>-</v>
      </c>
      <c r="T26" s="2" t="str">
        <f ca="1">IFERROR(__xludf.DUMMYFUNCTION("""COMPUTED_VALUE"""),"-")</f>
        <v>-</v>
      </c>
      <c r="U26" s="2">
        <f ca="1">IFERROR(__xludf.DUMMYFUNCTION("""COMPUTED_VALUE"""),8)</f>
        <v>8</v>
      </c>
      <c r="V26" s="2" t="str">
        <f ca="1">IFERROR(__xludf.DUMMYFUNCTION("""COMPUTED_VALUE"""),"2100, 2920, 2820, 4920, 2900")</f>
        <v>2100, 2920, 2820, 4920, 2900</v>
      </c>
      <c r="W26" s="2">
        <f ca="1">IFERROR(__xludf.DUMMYFUNCTION("""COMPUTED_VALUE"""),9)</f>
        <v>9</v>
      </c>
      <c r="X26" s="2" t="str">
        <f ca="1">IFERROR(__xludf.DUMMYFUNCTION("""COMPUTED_VALUE"""),"1950, 2820, 2900")</f>
        <v>1950, 2820, 2900</v>
      </c>
      <c r="Y26" s="2" t="str">
        <f ca="1">IFERROR(__xludf.DUMMYFUNCTION("""COMPUTED_VALUE"""),"ja")</f>
        <v>ja</v>
      </c>
      <c r="Z26" s="2"/>
      <c r="AA26" s="2"/>
      <c r="AB26" s="2" t="str">
        <f ca="1">IFERROR(__xludf.DUMMYFUNCTION("""COMPUTED_VALUE"""),"x")</f>
        <v>x</v>
      </c>
      <c r="AC26" s="2" t="str">
        <f ca="1">IFERROR(__xludf.DUMMYFUNCTION("""COMPUTED_VALUE"""),"x")</f>
        <v>x</v>
      </c>
    </row>
    <row r="27" spans="1:29" ht="12.45">
      <c r="A27" s="2" t="str">
        <f ca="1">IFERROR(__xludf.DUMMYFUNCTION("""COMPUTED_VALUE"""),"Christian")</f>
        <v>Christian</v>
      </c>
      <c r="B27" s="2" t="str">
        <f ca="1">IFERROR(__xludf.DUMMYFUNCTION("""COMPUTED_VALUE"""),"Nybolig Charlottenlund &amp; Klampenborg")</f>
        <v>Nybolig Charlottenlund &amp; Klampenborg</v>
      </c>
      <c r="C27" s="2" t="str">
        <f ca="1">IFERROR(__xludf.DUMMYFUNCTION("""COMPUTED_VALUE"""),"4235 3655")</f>
        <v>4235 3655</v>
      </c>
      <c r="D27" s="2" t="str">
        <f ca="1">IFERROR(__xludf.DUMMYFUNCTION("""COMPUTED_VALUE"""),"MG-SJ: 3.499,-")</f>
        <v>MG-SJ: 3.499,-</v>
      </c>
      <c r="E27" s="2">
        <f ca="1">IFERROR(__xludf.DUMMYFUNCTION("""COMPUTED_VALUE"""),1202)</f>
        <v>1202</v>
      </c>
      <c r="F27" s="2" t="str">
        <f ca="1">IFERROR(__xludf.DUMMYFUNCTION("""COMPUTED_VALUE"""),"Lars Lützhöft")</f>
        <v>Lars Lützhöft</v>
      </c>
      <c r="G27" s="2" t="str">
        <f ca="1">IFERROR(__xludf.DUMMYFUNCTION("""COMPUTED_VALUE"""),"lhl@nybolig.dk")</f>
        <v>lhl@nybolig.dk</v>
      </c>
      <c r="H27" s="2">
        <f ca="1">IFERROR(__xludf.DUMMYFUNCTION("""COMPUTED_VALUE"""),29202920)</f>
        <v>29202920</v>
      </c>
      <c r="I27" s="2" t="str">
        <f ca="1">IFERROR(__xludf.DUMMYFUNCTION("""COMPUTED_VALUE"""),"Jægersborg Allé 6")</f>
        <v>Jægersborg Allé 6</v>
      </c>
      <c r="J27" s="2">
        <f ca="1">IFERROR(__xludf.DUMMYFUNCTION("""COMPUTED_VALUE"""),2920)</f>
        <v>2920</v>
      </c>
      <c r="K27" s="2" t="str">
        <f ca="1">IFERROR(__xludf.DUMMYFUNCTION("""COMPUTED_VALUE"""),"Charlottenlund")</f>
        <v>Charlottenlund</v>
      </c>
      <c r="L27" s="2" t="str">
        <f ca="1">IFERROR(__xludf.DUMMYFUNCTION("""COMPUTED_VALUE"""),"Gentofte")</f>
        <v>Gentofte</v>
      </c>
      <c r="M27" s="2" t="str">
        <f ca="1">IFERROR(__xludf.DUMMYFUNCTION("""COMPUTED_VALUE"""),"Københavns omegn")</f>
        <v>Københavns omegn</v>
      </c>
      <c r="N27" s="2" t="str">
        <f ca="1">IFERROR(__xludf.DUMMYFUNCTION("""COMPUTED_VALUE"""),"Hovedstaden")</f>
        <v>Hovedstaden</v>
      </c>
      <c r="O27" s="2" t="str">
        <f ca="1">IFERROR(__xludf.DUMMYFUNCTION("""COMPUTED_VALUE"""),"3945 8745")</f>
        <v>3945 8745</v>
      </c>
      <c r="P27" s="2" t="str">
        <f ca="1">IFERROR(__xludf.DUMMYFUNCTION("""COMPUTED_VALUE"""),"2920@nybolig.dk")</f>
        <v>2920@nybolig.dk</v>
      </c>
      <c r="Q27" s="27" t="str">
        <f ca="1">IFERROR(__xludf.DUMMYFUNCTION("""COMPUTED_VALUE"""),"https://www.boliga.dk/maegler/17514")</f>
        <v>https://www.boliga.dk/maegler/17514</v>
      </c>
      <c r="R27" s="2" t="str">
        <f ca="1">IFERROR(__xludf.DUMMYFUNCTION("""COMPUTED_VALUE"""),"-")</f>
        <v>-</v>
      </c>
      <c r="S27" s="2" t="str">
        <f ca="1">IFERROR(__xludf.DUMMYFUNCTION("""COMPUTED_VALUE"""),"-")</f>
        <v>-</v>
      </c>
      <c r="T27" s="2" t="str">
        <f ca="1">IFERROR(__xludf.DUMMYFUNCTION("""COMPUTED_VALUE"""),"-")</f>
        <v>-</v>
      </c>
      <c r="U27" s="2">
        <f ca="1">IFERROR(__xludf.DUMMYFUNCTION("""COMPUTED_VALUE"""),8)</f>
        <v>8</v>
      </c>
      <c r="V27" s="2" t="str">
        <f ca="1">IFERROR(__xludf.DUMMYFUNCTION("""COMPUTED_VALUE"""),"1420, 2300, 2820, 2930, 2920")</f>
        <v>1420, 2300, 2820, 2930, 2920</v>
      </c>
      <c r="W27" s="2">
        <f ca="1">IFERROR(__xludf.DUMMYFUNCTION("""COMPUTED_VALUE"""),9)</f>
        <v>9</v>
      </c>
      <c r="X27" s="2" t="str">
        <f ca="1">IFERROR(__xludf.DUMMYFUNCTION("""COMPUTED_VALUE"""),"2100, 2920, 2820")</f>
        <v>2100, 2920, 2820</v>
      </c>
      <c r="Y27" s="2" t="str">
        <f ca="1">IFERROR(__xludf.DUMMYFUNCTION("""COMPUTED_VALUE"""),"ja")</f>
        <v>ja</v>
      </c>
      <c r="Z27" s="2" t="str">
        <f ca="1">IFERROR(__xludf.DUMMYFUNCTION("""COMPUTED_VALUE"""),"han er klar, sidder også med Præstø og Hvidovre - de 2 andre butikker har de dog masser af vurderinger i så han er i tvivl om de også skal med - rykkede ham, han vil kigge på mail og sende  bekræftelse - rykkede ham igen pr mail 9/8 - han er klar i charlo"&amp;"ttenlund, men præstø og hvidovre får masser af vurderinger i forvejen")</f>
        <v>han er klar, sidder også med Præstø og Hvidovre - de 2 andre butikker har de dog masser af vurderinger i så han er i tvivl om de også skal med - rykkede ham, han vil kigge på mail og sende  bekræftelse - rykkede ham igen pr mail 9/8 - han er klar i charlottenlund, men præstø og hvidovre får masser af vurderinger i forvejen</v>
      </c>
      <c r="AA27" s="2"/>
      <c r="AB27" s="2" t="str">
        <f ca="1">IFERROR(__xludf.DUMMYFUNCTION("""COMPUTED_VALUE"""),"x")</f>
        <v>x</v>
      </c>
      <c r="AC27" s="2" t="str">
        <f ca="1">IFERROR(__xludf.DUMMYFUNCTION("""COMPUTED_VALUE"""),"x")</f>
        <v>x</v>
      </c>
    </row>
    <row r="28" spans="1:29" ht="12.45">
      <c r="A28" s="2" t="str">
        <f ca="1">IFERROR(__xludf.DUMMYFUNCTION("""COMPUTED_VALUE"""),"Christian")</f>
        <v>Christian</v>
      </c>
      <c r="B28" s="2" t="str">
        <f ca="1">IFERROR(__xludf.DUMMYFUNCTION("""COMPUTED_VALUE"""),"Nybolig Hørsholm - Trolle &amp; Hartmann")</f>
        <v>Nybolig Hørsholm - Trolle &amp; Hartmann</v>
      </c>
      <c r="C28" s="2">
        <f ca="1">IFERROR(__xludf.DUMMYFUNCTION("""COMPUTED_VALUE"""),40810846)</f>
        <v>40810846</v>
      </c>
      <c r="D28" s="2" t="str">
        <f ca="1">IFERROR(__xludf.DUMMYFUNCTION("""COMPUTED_VALUE"""),"MG-SJ: 3.499,-")</f>
        <v>MG-SJ: 3.499,-</v>
      </c>
      <c r="E28" s="2">
        <f ca="1">IFERROR(__xludf.DUMMYFUNCTION("""COMPUTED_VALUE"""),1202)</f>
        <v>1202</v>
      </c>
      <c r="F28" s="2" t="str">
        <f ca="1">IFERROR(__xludf.DUMMYFUNCTION("""COMPUTED_VALUE"""),"Louise Hartmann")</f>
        <v>Louise Hartmann</v>
      </c>
      <c r="G28" s="2" t="str">
        <f ca="1">IFERROR(__xludf.DUMMYFUNCTION("""COMPUTED_VALUE"""),"lll@nybolig.dk")</f>
        <v>lll@nybolig.dk</v>
      </c>
      <c r="H28" s="2"/>
      <c r="I28" s="2" t="str">
        <f ca="1">IFERROR(__xludf.DUMMYFUNCTION("""COMPUTED_VALUE"""),"Gl. Hovedgade 10")</f>
        <v>Gl. Hovedgade 10</v>
      </c>
      <c r="J28" s="2">
        <f ca="1">IFERROR(__xludf.DUMMYFUNCTION("""COMPUTED_VALUE"""),2970)</f>
        <v>2970</v>
      </c>
      <c r="K28" s="2" t="str">
        <f ca="1">IFERROR(__xludf.DUMMYFUNCTION("""COMPUTED_VALUE"""),"Hørsholm")</f>
        <v>Hørsholm</v>
      </c>
      <c r="L28" s="2" t="str">
        <f ca="1">IFERROR(__xludf.DUMMYFUNCTION("""COMPUTED_VALUE"""),"Hørsholm")</f>
        <v>Hørsholm</v>
      </c>
      <c r="M28" s="2" t="str">
        <f ca="1">IFERROR(__xludf.DUMMYFUNCTION("""COMPUTED_VALUE"""),"Nordsjælland")</f>
        <v>Nordsjælland</v>
      </c>
      <c r="N28" s="2" t="str">
        <f ca="1">IFERROR(__xludf.DUMMYFUNCTION("""COMPUTED_VALUE"""),"Hovedstaden")</f>
        <v>Hovedstaden</v>
      </c>
      <c r="O28" s="2" t="str">
        <f ca="1">IFERROR(__xludf.DUMMYFUNCTION("""COMPUTED_VALUE"""),"4516 2700")</f>
        <v>4516 2700</v>
      </c>
      <c r="P28" s="2" t="str">
        <f ca="1">IFERROR(__xludf.DUMMYFUNCTION("""COMPUTED_VALUE"""),"2970@nybolig.dk")</f>
        <v>2970@nybolig.dk</v>
      </c>
      <c r="Q28" s="27" t="str">
        <f ca="1">IFERROR(__xludf.DUMMYFUNCTION("""COMPUTED_VALUE"""),"https://www.boliga.dk/maegler/732")</f>
        <v>https://www.boliga.dk/maegler/732</v>
      </c>
      <c r="R28" s="2" t="str">
        <f ca="1">IFERROR(__xludf.DUMMYFUNCTION("""COMPUTED_VALUE"""),"-")</f>
        <v>-</v>
      </c>
      <c r="S28" s="2" t="str">
        <f ca="1">IFERROR(__xludf.DUMMYFUNCTION("""COMPUTED_VALUE"""),"-")</f>
        <v>-</v>
      </c>
      <c r="T28" s="2" t="str">
        <f ca="1">IFERROR(__xludf.DUMMYFUNCTION("""COMPUTED_VALUE"""),"-")</f>
        <v>-</v>
      </c>
      <c r="U28" s="2">
        <f ca="1">IFERROR(__xludf.DUMMYFUNCTION("""COMPUTED_VALUE"""),13)</f>
        <v>13</v>
      </c>
      <c r="V28" s="2" t="str">
        <f ca="1">IFERROR(__xludf.DUMMYFUNCTION("""COMPUTED_VALUE"""),"2980, 2960, 2970")</f>
        <v>2980, 2960, 2970</v>
      </c>
      <c r="W28" s="2">
        <f ca="1">IFERROR(__xludf.DUMMYFUNCTION("""COMPUTED_VALUE"""),15)</f>
        <v>15</v>
      </c>
      <c r="X28" s="2" t="str">
        <f ca="1">IFERROR(__xludf.DUMMYFUNCTION("""COMPUTED_VALUE"""),"2980, 2920, 2990, 2960, 2970")</f>
        <v>2980, 2920, 2990, 2960, 2970</v>
      </c>
      <c r="Y28" s="2" t="str">
        <f ca="1">IFERROR(__xludf.DUMMYFUNCTION("""COMPUTED_VALUE"""),"ja")</f>
        <v>ja</v>
      </c>
      <c r="Z28" s="2" t="str">
        <f ca="1">IFERROR(__xludf.DUMMYFUNCTION("""COMPUTED_VALUE"""),"se holte")</f>
        <v>se holte</v>
      </c>
      <c r="AA28" s="2"/>
      <c r="AB28" s="2" t="str">
        <f ca="1">IFERROR(__xludf.DUMMYFUNCTION("""COMPUTED_VALUE"""),"x")</f>
        <v>x</v>
      </c>
      <c r="AC28" s="2" t="str">
        <f ca="1">IFERROR(__xludf.DUMMYFUNCTION("""COMPUTED_VALUE"""),"x")</f>
        <v>x</v>
      </c>
    </row>
    <row r="29" spans="1:29" ht="12.45">
      <c r="A29" s="2" t="str">
        <f ca="1">IFERROR(__xludf.DUMMYFUNCTION("""COMPUTED_VALUE"""),"Christian")</f>
        <v>Christian</v>
      </c>
      <c r="B29" s="2" t="str">
        <f ca="1">IFERROR(__xludf.DUMMYFUNCTION("""COMPUTED_VALUE"""),"Nybolig Thomas Jürgensen")</f>
        <v>Nybolig Thomas Jürgensen</v>
      </c>
      <c r="C29" s="2">
        <f ca="1">IFERROR(__xludf.DUMMYFUNCTION("""COMPUTED_VALUE"""),27358632)</f>
        <v>27358632</v>
      </c>
      <c r="D29" s="2" t="str">
        <f ca="1">IFERROR(__xludf.DUMMYFUNCTION("""COMPUTED_VALUE"""),"MG-PM-SJ: 2.600,-")</f>
        <v>MG-PM-SJ: 2.600,-</v>
      </c>
      <c r="E29" s="2">
        <f ca="1">IFERROR(__xludf.DUMMYFUNCTION("""COMPUTED_VALUE"""),1204)</f>
        <v>1204</v>
      </c>
      <c r="F29" s="2" t="str">
        <f ca="1">IFERROR(__xludf.DUMMYFUNCTION("""COMPUTED_VALUE"""),"Thomas Jürgensen")</f>
        <v>Thomas Jürgensen</v>
      </c>
      <c r="G29" s="2" t="str">
        <f ca="1">IFERROR(__xludf.DUMMYFUNCTION("""COMPUTED_VALUE"""),"thj@nybolig.dk")</f>
        <v>thj@nybolig.dk</v>
      </c>
      <c r="H29" s="2" t="str">
        <f ca="1">IFERROR(__xludf.DUMMYFUNCTION("""COMPUTED_VALUE"""),"2630 2233")</f>
        <v>2630 2233</v>
      </c>
      <c r="I29" s="2" t="str">
        <f ca="1">IFERROR(__xludf.DUMMYFUNCTION("""COMPUTED_VALUE"""),"Humlebæk Strandvej 83")</f>
        <v>Humlebæk Strandvej 83</v>
      </c>
      <c r="J29" s="2">
        <f ca="1">IFERROR(__xludf.DUMMYFUNCTION("""COMPUTED_VALUE"""),3050)</f>
        <v>3050</v>
      </c>
      <c r="K29" s="2" t="str">
        <f ca="1">IFERROR(__xludf.DUMMYFUNCTION("""COMPUTED_VALUE"""),"Humlebæk")</f>
        <v>Humlebæk</v>
      </c>
      <c r="L29" s="2" t="str">
        <f ca="1">IFERROR(__xludf.DUMMYFUNCTION("""COMPUTED_VALUE"""),"Fredensborg")</f>
        <v>Fredensborg</v>
      </c>
      <c r="M29" s="2" t="str">
        <f ca="1">IFERROR(__xludf.DUMMYFUNCTION("""COMPUTED_VALUE"""),"Nordsjælland")</f>
        <v>Nordsjælland</v>
      </c>
      <c r="N29" s="2" t="str">
        <f ca="1">IFERROR(__xludf.DUMMYFUNCTION("""COMPUTED_VALUE"""),"Hovedstaden")</f>
        <v>Hovedstaden</v>
      </c>
      <c r="O29" s="2" t="str">
        <f ca="1">IFERROR(__xludf.DUMMYFUNCTION("""COMPUTED_VALUE"""),"4919 3000")</f>
        <v>4919 3000</v>
      </c>
      <c r="P29" s="2" t="str">
        <f ca="1">IFERROR(__xludf.DUMMYFUNCTION("""COMPUTED_VALUE"""),"3050@nybolig.dk")</f>
        <v>3050@nybolig.dk</v>
      </c>
      <c r="Q29" s="27" t="str">
        <f ca="1">IFERROR(__xludf.DUMMYFUNCTION("""COMPUTED_VALUE"""),"https://www.boliga.dk/maegler/834")</f>
        <v>https://www.boliga.dk/maegler/834</v>
      </c>
      <c r="R29" s="2" t="str">
        <f ca="1">IFERROR(__xludf.DUMMYFUNCTION("""COMPUTED_VALUE"""),"-")</f>
        <v>-</v>
      </c>
      <c r="S29" s="2" t="str">
        <f ca="1">IFERROR(__xludf.DUMMYFUNCTION("""COMPUTED_VALUE"""),"-")</f>
        <v>-</v>
      </c>
      <c r="T29" s="2" t="str">
        <f ca="1">IFERROR(__xludf.DUMMYFUNCTION("""COMPUTED_VALUE"""),"-")</f>
        <v>-</v>
      </c>
      <c r="U29" s="2">
        <f ca="1">IFERROR(__xludf.DUMMYFUNCTION("""COMPUTED_VALUE"""),9)</f>
        <v>9</v>
      </c>
      <c r="V29" s="2" t="str">
        <f ca="1">IFERROR(__xludf.DUMMYFUNCTION("""COMPUTED_VALUE"""),"3050, 3000, 3480")</f>
        <v>3050, 3000, 3480</v>
      </c>
      <c r="W29" s="2">
        <f ca="1">IFERROR(__xludf.DUMMYFUNCTION("""COMPUTED_VALUE"""),31)</f>
        <v>31</v>
      </c>
      <c r="X29" s="2" t="str">
        <f ca="1">IFERROR(__xludf.DUMMYFUNCTION("""COMPUTED_VALUE"""),"3050, 2990, 3060, 3480")</f>
        <v>3050, 2990, 3060, 3480</v>
      </c>
      <c r="Y29" s="2" t="str">
        <f ca="1">IFERROR(__xludf.DUMMYFUNCTION("""COMPUTED_VALUE"""),"ja")</f>
        <v>ja</v>
      </c>
      <c r="Z29" s="2" t="str">
        <f ca="1">IFERROR(__xludf.DUMMYFUNCTION("""COMPUTED_VALUE"""),"Thomas er klar - sendt mail 15/6 - han er PM i den anden butik - han ville vende tilbage mandag d. 15/8 efter morgenmøde fortalte ham at der var pm pris for begge butikker")</f>
        <v>Thomas er klar - sendt mail 15/6 - han er PM i den anden butik - han ville vende tilbage mandag d. 15/8 efter morgenmøde fortalte ham at der var pm pris for begge butikker</v>
      </c>
      <c r="AA29" s="2"/>
      <c r="AB29" s="2" t="str">
        <f ca="1">IFERROR(__xludf.DUMMYFUNCTION("""COMPUTED_VALUE"""),"x")</f>
        <v>x</v>
      </c>
      <c r="AC29" s="2" t="str">
        <f ca="1">IFERROR(__xludf.DUMMYFUNCTION("""COMPUTED_VALUE"""),"x")</f>
        <v>x</v>
      </c>
    </row>
    <row r="30" spans="1:29" ht="12.45">
      <c r="A30" s="2" t="str">
        <f ca="1">IFERROR(__xludf.DUMMYFUNCTION("""COMPUTED_VALUE"""),"Christian")</f>
        <v>Christian</v>
      </c>
      <c r="B30" s="2" t="str">
        <f ca="1">IFERROR(__xludf.DUMMYFUNCTION("""COMPUTED_VALUE"""),"Nybolig Helsinge")</f>
        <v>Nybolig Helsinge</v>
      </c>
      <c r="C30" s="2">
        <f ca="1">IFERROR(__xludf.DUMMYFUNCTION("""COMPUTED_VALUE"""),35608141)</f>
        <v>35608141</v>
      </c>
      <c r="D30" s="2" t="str">
        <f ca="1">IFERROR(__xludf.DUMMYFUNCTION("""COMPUTED_VALUE"""),"MG-SJ: 3.499,-")</f>
        <v>MG-SJ: 3.499,-</v>
      </c>
      <c r="E30" s="2">
        <f ca="1">IFERROR(__xludf.DUMMYFUNCTION("""COMPUTED_VALUE"""),1202)</f>
        <v>1202</v>
      </c>
      <c r="F30" s="2" t="str">
        <f ca="1">IFERROR(__xludf.DUMMYFUNCTION("""COMPUTED_VALUE"""),"Lilian Vestergård Kaul")</f>
        <v>Lilian Vestergård Kaul</v>
      </c>
      <c r="G30" s="2" t="str">
        <f ca="1">IFERROR(__xludf.DUMMYFUNCTION("""COMPUTED_VALUE"""),"lvk@nybolig.dk")</f>
        <v>lvk@nybolig.dk</v>
      </c>
      <c r="H30" s="2"/>
      <c r="I30" s="2" t="str">
        <f ca="1">IFERROR(__xludf.DUMMYFUNCTION("""COMPUTED_VALUE"""),"Østergade 5")</f>
        <v>Østergade 5</v>
      </c>
      <c r="J30" s="2">
        <f ca="1">IFERROR(__xludf.DUMMYFUNCTION("""COMPUTED_VALUE"""),3200)</f>
        <v>3200</v>
      </c>
      <c r="K30" s="2" t="str">
        <f ca="1">IFERROR(__xludf.DUMMYFUNCTION("""COMPUTED_VALUE"""),"Helsinge")</f>
        <v>Helsinge</v>
      </c>
      <c r="L30" s="2" t="str">
        <f ca="1">IFERROR(__xludf.DUMMYFUNCTION("""COMPUTED_VALUE"""),"Gribskov")</f>
        <v>Gribskov</v>
      </c>
      <c r="M30" s="2" t="str">
        <f ca="1">IFERROR(__xludf.DUMMYFUNCTION("""COMPUTED_VALUE"""),"Nordsjælland")</f>
        <v>Nordsjælland</v>
      </c>
      <c r="N30" s="2" t="str">
        <f ca="1">IFERROR(__xludf.DUMMYFUNCTION("""COMPUTED_VALUE"""),"Hovedstaden")</f>
        <v>Hovedstaden</v>
      </c>
      <c r="O30" s="2" t="str">
        <f ca="1">IFERROR(__xludf.DUMMYFUNCTION("""COMPUTED_VALUE"""),"48 79 19 00")</f>
        <v>48 79 19 00</v>
      </c>
      <c r="P30" s="2" t="str">
        <f ca="1">IFERROR(__xludf.DUMMYFUNCTION("""COMPUTED_VALUE"""),"3200@nybolig.dk")</f>
        <v>3200@nybolig.dk</v>
      </c>
      <c r="Q30" s="27" t="str">
        <f ca="1">IFERROR(__xludf.DUMMYFUNCTION("""COMPUTED_VALUE"""),"https://www.boliga.dk/maegler/368")</f>
        <v>https://www.boliga.dk/maegler/368</v>
      </c>
      <c r="R30" s="2" t="str">
        <f ca="1">IFERROR(__xludf.DUMMYFUNCTION("""COMPUTED_VALUE"""),"-")</f>
        <v>-</v>
      </c>
      <c r="S30" s="2" t="str">
        <f ca="1">IFERROR(__xludf.DUMMYFUNCTION("""COMPUTED_VALUE"""),"-")</f>
        <v>-</v>
      </c>
      <c r="T30" s="2" t="str">
        <f ca="1">IFERROR(__xludf.DUMMYFUNCTION("""COMPUTED_VALUE"""),"-")</f>
        <v>-</v>
      </c>
      <c r="U30" s="2">
        <f ca="1">IFERROR(__xludf.DUMMYFUNCTION("""COMPUTED_VALUE"""),6)</f>
        <v>6</v>
      </c>
      <c r="V30" s="2" t="str">
        <f ca="1">IFERROR(__xludf.DUMMYFUNCTION("""COMPUTED_VALUE"""),"3200, 3210")</f>
        <v>3200, 3210</v>
      </c>
      <c r="W30" s="2">
        <f ca="1">IFERROR(__xludf.DUMMYFUNCTION("""COMPUTED_VALUE"""),9)</f>
        <v>9</v>
      </c>
      <c r="X30" s="2" t="str">
        <f ca="1">IFERROR(__xludf.DUMMYFUNCTION("""COMPUTED_VALUE"""),"3230, 3200")</f>
        <v>3230, 3200</v>
      </c>
      <c r="Y30" s="2" t="str">
        <f ca="1">IFERROR(__xludf.DUMMYFUNCTION("""COMPUTED_VALUE"""),"ja")</f>
        <v>ja</v>
      </c>
      <c r="Z30" s="2" t="str">
        <f ca="1">IFERROR(__xludf.DUMMYFUNCTION("""COMPUTED_VALUE"""),"lillian var lidt ""spids"" i hendes kommunikation, vil kigge på det - hun er ikke blevet mindre spids, vil lige vende det med partneren igen, men hælder nok mest til nej 15/6")</f>
        <v>lillian var lidt "spids" i hendes kommunikation, vil kigge på det - hun er ikke blevet mindre spids, vil lige vende det med partneren igen, men hælder nok mest til nej 15/6</v>
      </c>
      <c r="AA30" s="2"/>
      <c r="AB30" s="2" t="str">
        <f ca="1">IFERROR(__xludf.DUMMYFUNCTION("""COMPUTED_VALUE"""),"x")</f>
        <v>x</v>
      </c>
      <c r="AC30" s="2" t="str">
        <f ca="1">IFERROR(__xludf.DUMMYFUNCTION("""COMPUTED_VALUE"""),"x")</f>
        <v>x</v>
      </c>
    </row>
    <row r="31" spans="1:29" ht="12.45">
      <c r="A31" s="2" t="str">
        <f ca="1">IFERROR(__xludf.DUMMYFUNCTION("""COMPUTED_VALUE"""),"Christian")</f>
        <v>Christian</v>
      </c>
      <c r="B31" s="2" t="str">
        <f ca="1">IFERROR(__xludf.DUMMYFUNCTION("""COMPUTED_VALUE"""),"Nybolig Rågeleje")</f>
        <v>Nybolig Rågeleje</v>
      </c>
      <c r="C31" s="2">
        <f ca="1">IFERROR(__xludf.DUMMYFUNCTION("""COMPUTED_VALUE"""),35608141)</f>
        <v>35608141</v>
      </c>
      <c r="D31" s="2" t="str">
        <f ca="1">IFERROR(__xludf.DUMMYFUNCTION("""COMPUTED_VALUE"""),"MG-SJ: 3.499,-")</f>
        <v>MG-SJ: 3.499,-</v>
      </c>
      <c r="E31" s="2">
        <f ca="1">IFERROR(__xludf.DUMMYFUNCTION("""COMPUTED_VALUE"""),1202)</f>
        <v>1202</v>
      </c>
      <c r="F31" s="2" t="str">
        <f ca="1">IFERROR(__xludf.DUMMYFUNCTION("""COMPUTED_VALUE"""),"Lilian Vestergård Kaul")</f>
        <v>Lilian Vestergård Kaul</v>
      </c>
      <c r="G31" s="2" t="str">
        <f ca="1">IFERROR(__xludf.DUMMYFUNCTION("""COMPUTED_VALUE"""),"lvk@nybolig.dk")</f>
        <v>lvk@nybolig.dk</v>
      </c>
      <c r="H31" s="2"/>
      <c r="I31" s="2" t="str">
        <f ca="1">IFERROR(__xludf.DUMMYFUNCTION("""COMPUTED_VALUE"""),"Byageren 2A, Rågeleje")</f>
        <v>Byageren 2A, Rågeleje</v>
      </c>
      <c r="J31" s="2">
        <f ca="1">IFERROR(__xludf.DUMMYFUNCTION("""COMPUTED_VALUE"""),3210)</f>
        <v>3210</v>
      </c>
      <c r="K31" s="2" t="str">
        <f ca="1">IFERROR(__xludf.DUMMYFUNCTION("""COMPUTED_VALUE"""),"Vejby")</f>
        <v>Vejby</v>
      </c>
      <c r="L31" s="2" t="str">
        <f ca="1">IFERROR(__xludf.DUMMYFUNCTION("""COMPUTED_VALUE"""),"Gribskov")</f>
        <v>Gribskov</v>
      </c>
      <c r="M31" s="2" t="str">
        <f ca="1">IFERROR(__xludf.DUMMYFUNCTION("""COMPUTED_VALUE"""),"Nordsjælland")</f>
        <v>Nordsjælland</v>
      </c>
      <c r="N31" s="2" t="str">
        <f ca="1">IFERROR(__xludf.DUMMYFUNCTION("""COMPUTED_VALUE"""),"Hovedstaden")</f>
        <v>Hovedstaden</v>
      </c>
      <c r="O31" s="2" t="str">
        <f ca="1">IFERROR(__xludf.DUMMYFUNCTION("""COMPUTED_VALUE"""),"4731 1900")</f>
        <v>4731 1900</v>
      </c>
      <c r="P31" s="2" t="str">
        <f ca="1">IFERROR(__xludf.DUMMYFUNCTION("""COMPUTED_VALUE"""),"3210@nybolig.dk")</f>
        <v>3210@nybolig.dk</v>
      </c>
      <c r="Q31" s="27" t="str">
        <f ca="1">IFERROR(__xludf.DUMMYFUNCTION("""COMPUTED_VALUE"""),"https://www.boliga.dk/maegler/488")</f>
        <v>https://www.boliga.dk/maegler/488</v>
      </c>
      <c r="R31" s="2" t="str">
        <f ca="1">IFERROR(__xludf.DUMMYFUNCTION("""COMPUTED_VALUE"""),"-")</f>
        <v>-</v>
      </c>
      <c r="S31" s="2" t="str">
        <f ca="1">IFERROR(__xludf.DUMMYFUNCTION("""COMPUTED_VALUE"""),"-")</f>
        <v>-</v>
      </c>
      <c r="T31" s="2" t="str">
        <f ca="1">IFERROR(__xludf.DUMMYFUNCTION("""COMPUTED_VALUE"""),"-")</f>
        <v>-</v>
      </c>
      <c r="U31" s="2">
        <f ca="1">IFERROR(__xludf.DUMMYFUNCTION("""COMPUTED_VALUE"""),10)</f>
        <v>10</v>
      </c>
      <c r="V31" s="2" t="str">
        <f ca="1">IFERROR(__xludf.DUMMYFUNCTION("""COMPUTED_VALUE"""),"3210, 3230")</f>
        <v>3210, 3230</v>
      </c>
      <c r="W31" s="2">
        <f ca="1">IFERROR(__xludf.DUMMYFUNCTION("""COMPUTED_VALUE"""),22)</f>
        <v>22</v>
      </c>
      <c r="X31" s="2" t="str">
        <f ca="1">IFERROR(__xludf.DUMMYFUNCTION("""COMPUTED_VALUE"""),"3210, 3230, 3250")</f>
        <v>3210, 3230, 3250</v>
      </c>
      <c r="Y31" s="2" t="str">
        <f ca="1">IFERROR(__xludf.DUMMYFUNCTION("""COMPUTED_VALUE"""),"ja")</f>
        <v>ja</v>
      </c>
      <c r="Z31" s="2" t="str">
        <f ca="1">IFERROR(__xludf.DUMMYFUNCTION("""COMPUTED_VALUE"""),"se helsinge")</f>
        <v>se helsinge</v>
      </c>
      <c r="AA31" s="2"/>
      <c r="AB31" s="2" t="str">
        <f ca="1">IFERROR(__xludf.DUMMYFUNCTION("""COMPUTED_VALUE"""),"x")</f>
        <v>x</v>
      </c>
      <c r="AC31" s="2" t="str">
        <f ca="1">IFERROR(__xludf.DUMMYFUNCTION("""COMPUTED_VALUE"""),"x")</f>
        <v>x</v>
      </c>
    </row>
    <row r="32" spans="1:29" ht="12.45">
      <c r="A32" s="2" t="str">
        <f ca="1">IFERROR(__xludf.DUMMYFUNCTION("""COMPUTED_VALUE"""),"Christian")</f>
        <v>Christian</v>
      </c>
      <c r="B32" s="2" t="str">
        <f ca="1">IFERROR(__xludf.DUMMYFUNCTION("""COMPUTED_VALUE"""),"Nybolig Tisvildeleje")</f>
        <v>Nybolig Tisvildeleje</v>
      </c>
      <c r="C32" s="2">
        <f ca="1">IFERROR(__xludf.DUMMYFUNCTION("""COMPUTED_VALUE"""),35608141)</f>
        <v>35608141</v>
      </c>
      <c r="D32" s="2" t="str">
        <f ca="1">IFERROR(__xludf.DUMMYFUNCTION("""COMPUTED_VALUE"""),"MG-SJ: 3.499,-")</f>
        <v>MG-SJ: 3.499,-</v>
      </c>
      <c r="E32" s="2">
        <f ca="1">IFERROR(__xludf.DUMMYFUNCTION("""COMPUTED_VALUE"""),1202)</f>
        <v>1202</v>
      </c>
      <c r="F32" s="2" t="str">
        <f ca="1">IFERROR(__xludf.DUMMYFUNCTION("""COMPUTED_VALUE"""),"Lilian Vestergård Kaul")</f>
        <v>Lilian Vestergård Kaul</v>
      </c>
      <c r="G32" s="2" t="str">
        <f ca="1">IFERROR(__xludf.DUMMYFUNCTION("""COMPUTED_VALUE"""),"lvk@nybolig.dk")</f>
        <v>lvk@nybolig.dk</v>
      </c>
      <c r="H32" s="2"/>
      <c r="I32" s="2" t="str">
        <f ca="1">IFERROR(__xludf.DUMMYFUNCTION("""COMPUTED_VALUE"""),"Hovedgaden 2")</f>
        <v>Hovedgaden 2</v>
      </c>
      <c r="J32" s="2">
        <f ca="1">IFERROR(__xludf.DUMMYFUNCTION("""COMPUTED_VALUE"""),3220)</f>
        <v>3220</v>
      </c>
      <c r="K32" s="2" t="str">
        <f ca="1">IFERROR(__xludf.DUMMYFUNCTION("""COMPUTED_VALUE"""),"Tisvildeleje")</f>
        <v>Tisvildeleje</v>
      </c>
      <c r="L32" s="2" t="str">
        <f ca="1">IFERROR(__xludf.DUMMYFUNCTION("""COMPUTED_VALUE"""),"Gribskov")</f>
        <v>Gribskov</v>
      </c>
      <c r="M32" s="2" t="str">
        <f ca="1">IFERROR(__xludf.DUMMYFUNCTION("""COMPUTED_VALUE"""),"Nordsjælland")</f>
        <v>Nordsjælland</v>
      </c>
      <c r="N32" s="2" t="str">
        <f ca="1">IFERROR(__xludf.DUMMYFUNCTION("""COMPUTED_VALUE"""),"Hovedstaden")</f>
        <v>Hovedstaden</v>
      </c>
      <c r="O32" s="2" t="str">
        <f ca="1">IFERROR(__xludf.DUMMYFUNCTION("""COMPUTED_VALUE"""),"4870 2500")</f>
        <v>4870 2500</v>
      </c>
      <c r="P32" s="2" t="str">
        <f ca="1">IFERROR(__xludf.DUMMYFUNCTION("""COMPUTED_VALUE"""),"3220@nybolig.dk")</f>
        <v>3220@nybolig.dk</v>
      </c>
      <c r="Q32" s="27" t="str">
        <f ca="1">IFERROR(__xludf.DUMMYFUNCTION("""COMPUTED_VALUE"""),"https://www.boliga.dk/maegler/660")</f>
        <v>https://www.boliga.dk/maegler/660</v>
      </c>
      <c r="R32" s="2" t="str">
        <f ca="1">IFERROR(__xludf.DUMMYFUNCTION("""COMPUTED_VALUE"""),"-")</f>
        <v>-</v>
      </c>
      <c r="S32" s="2" t="str">
        <f ca="1">IFERROR(__xludf.DUMMYFUNCTION("""COMPUTED_VALUE"""),"-")</f>
        <v>-</v>
      </c>
      <c r="T32" s="2" t="str">
        <f ca="1">IFERROR(__xludf.DUMMYFUNCTION("""COMPUTED_VALUE"""),"-")</f>
        <v>-</v>
      </c>
      <c r="U32" s="2">
        <f ca="1">IFERROR(__xludf.DUMMYFUNCTION("""COMPUTED_VALUE"""),3)</f>
        <v>3</v>
      </c>
      <c r="V32" s="2">
        <f ca="1">IFERROR(__xludf.DUMMYFUNCTION("""COMPUTED_VALUE"""),3220)</f>
        <v>3220</v>
      </c>
      <c r="W32" s="2">
        <f ca="1">IFERROR(__xludf.DUMMYFUNCTION("""COMPUTED_VALUE"""),1)</f>
        <v>1</v>
      </c>
      <c r="X32" s="2">
        <f ca="1">IFERROR(__xludf.DUMMYFUNCTION("""COMPUTED_VALUE"""),3220)</f>
        <v>3220</v>
      </c>
      <c r="Y32" s="2" t="str">
        <f ca="1">IFERROR(__xludf.DUMMYFUNCTION("""COMPUTED_VALUE"""),"ja")</f>
        <v>ja</v>
      </c>
      <c r="Z32" s="2" t="str">
        <f ca="1">IFERROR(__xludf.DUMMYFUNCTION("""COMPUTED_VALUE"""),"se helsinge")</f>
        <v>se helsinge</v>
      </c>
      <c r="AA32" s="2"/>
      <c r="AB32" s="2" t="str">
        <f ca="1">IFERROR(__xludf.DUMMYFUNCTION("""COMPUTED_VALUE"""),"x")</f>
        <v>x</v>
      </c>
      <c r="AC32" s="2" t="str">
        <f ca="1">IFERROR(__xludf.DUMMYFUNCTION("""COMPUTED_VALUE"""),"x")</f>
        <v>x</v>
      </c>
    </row>
    <row r="33" spans="1:29" ht="12.45">
      <c r="A33" s="2" t="str">
        <f ca="1">IFERROR(__xludf.DUMMYFUNCTION("""COMPUTED_VALUE"""),"Christian")</f>
        <v>Christian</v>
      </c>
      <c r="B33" s="2" t="str">
        <f ca="1">IFERROR(__xludf.DUMMYFUNCTION("""COMPUTED_VALUE"""),"Nybolig Allerød")</f>
        <v>Nybolig Allerød</v>
      </c>
      <c r="C33" s="2">
        <f ca="1">IFERROR(__xludf.DUMMYFUNCTION("""COMPUTED_VALUE"""),38656694)</f>
        <v>38656694</v>
      </c>
      <c r="D33" s="2" t="str">
        <f ca="1">IFERROR(__xludf.DUMMYFUNCTION("""COMPUTED_VALUE"""),"MG-SJ: 3.499,-")</f>
        <v>MG-SJ: 3.499,-</v>
      </c>
      <c r="E33" s="2">
        <f ca="1">IFERROR(__xludf.DUMMYFUNCTION("""COMPUTED_VALUE"""),1202)</f>
        <v>1202</v>
      </c>
      <c r="F33" s="2" t="str">
        <f ca="1">IFERROR(__xludf.DUMMYFUNCTION("""COMPUTED_VALUE"""),"Tommi Frank Madsen")</f>
        <v>Tommi Frank Madsen</v>
      </c>
      <c r="G33" s="2" t="str">
        <f ca="1">IFERROR(__xludf.DUMMYFUNCTION("""COMPUTED_VALUE"""),"tfm@nybolig.dk")</f>
        <v>tfm@nybolig.dk</v>
      </c>
      <c r="H33" s="2"/>
      <c r="I33" s="2" t="str">
        <f ca="1">IFERROR(__xludf.DUMMYFUNCTION("""COMPUTED_VALUE"""),"Allerød Stationsvej 2C")</f>
        <v>Allerød Stationsvej 2C</v>
      </c>
      <c r="J33" s="2">
        <f ca="1">IFERROR(__xludf.DUMMYFUNCTION("""COMPUTED_VALUE"""),3450)</f>
        <v>3450</v>
      </c>
      <c r="K33" s="2" t="str">
        <f ca="1">IFERROR(__xludf.DUMMYFUNCTION("""COMPUTED_VALUE"""),"Allerød")</f>
        <v>Allerød</v>
      </c>
      <c r="L33" s="2" t="str">
        <f ca="1">IFERROR(__xludf.DUMMYFUNCTION("""COMPUTED_VALUE"""),"Allerød")</f>
        <v>Allerød</v>
      </c>
      <c r="M33" s="2" t="str">
        <f ca="1">IFERROR(__xludf.DUMMYFUNCTION("""COMPUTED_VALUE"""),"Nordsjælland")</f>
        <v>Nordsjælland</v>
      </c>
      <c r="N33" s="2" t="str">
        <f ca="1">IFERROR(__xludf.DUMMYFUNCTION("""COMPUTED_VALUE"""),"Hovedstaden")</f>
        <v>Hovedstaden</v>
      </c>
      <c r="O33" s="2">
        <f ca="1">IFERROR(__xludf.DUMMYFUNCTION("""COMPUTED_VALUE"""),45161200)</f>
        <v>45161200</v>
      </c>
      <c r="P33" s="2" t="str">
        <f ca="1">IFERROR(__xludf.DUMMYFUNCTION("""COMPUTED_VALUE"""),"3450@nybolig.dk")</f>
        <v>3450@nybolig.dk</v>
      </c>
      <c r="Q33" s="27" t="str">
        <f ca="1">IFERROR(__xludf.DUMMYFUNCTION("""COMPUTED_VALUE"""),"https://www.boliga.dk/maegler/25521")</f>
        <v>https://www.boliga.dk/maegler/25521</v>
      </c>
      <c r="R33" s="2" t="str">
        <f ca="1">IFERROR(__xludf.DUMMYFUNCTION("""COMPUTED_VALUE"""),"-")</f>
        <v>-</v>
      </c>
      <c r="S33" s="2" t="str">
        <f ca="1">IFERROR(__xludf.DUMMYFUNCTION("""COMPUTED_VALUE"""),"-")</f>
        <v>-</v>
      </c>
      <c r="T33" s="2" t="str">
        <f ca="1">IFERROR(__xludf.DUMMYFUNCTION("""COMPUTED_VALUE"""),"-")</f>
        <v>-</v>
      </c>
      <c r="U33" s="2">
        <f ca="1">IFERROR(__xludf.DUMMYFUNCTION("""COMPUTED_VALUE"""),15)</f>
        <v>15</v>
      </c>
      <c r="V33" s="2" t="str">
        <f ca="1">IFERROR(__xludf.DUMMYFUNCTION("""COMPUTED_VALUE"""),"3540, 3450, 2400, 3400")</f>
        <v>3540, 3450, 2400, 3400</v>
      </c>
      <c r="W33" s="2">
        <f ca="1">IFERROR(__xludf.DUMMYFUNCTION("""COMPUTED_VALUE"""),14)</f>
        <v>14</v>
      </c>
      <c r="X33" s="2" t="str">
        <f ca="1">IFERROR(__xludf.DUMMYFUNCTION("""COMPUTED_VALUE"""),"3540, 3450")</f>
        <v>3540, 3450</v>
      </c>
      <c r="Y33" s="2" t="str">
        <f ca="1">IFERROR(__xludf.DUMMYFUNCTION("""COMPUTED_VALUE"""),"ja")</f>
        <v>ja</v>
      </c>
      <c r="Z33" s="2" t="str">
        <f ca="1">IFERROR(__xludf.DUMMYFUNCTION("""COMPUTED_VALUE"""),"se birkerød")</f>
        <v>se birkerød</v>
      </c>
      <c r="AA33" s="25"/>
      <c r="AB33" s="2" t="str">
        <f ca="1">IFERROR(__xludf.DUMMYFUNCTION("""COMPUTED_VALUE"""),"x")</f>
        <v>x</v>
      </c>
      <c r="AC33" s="2" t="str">
        <f ca="1">IFERROR(__xludf.DUMMYFUNCTION("""COMPUTED_VALUE"""),"x")</f>
        <v>x</v>
      </c>
    </row>
    <row r="34" spans="1:29" ht="12.45">
      <c r="A34" s="2" t="str">
        <f ca="1">IFERROR(__xludf.DUMMYFUNCTION("""COMPUTED_VALUE"""),"Christian")</f>
        <v>Christian</v>
      </c>
      <c r="B34" s="2" t="str">
        <f ca="1">IFERROR(__xludf.DUMMYFUNCTION("""COMPUTED_VALUE"""),"Nybolig Birkerød A/S")</f>
        <v>Nybolig Birkerød A/S</v>
      </c>
      <c r="C34" s="2">
        <f ca="1">IFERROR(__xludf.DUMMYFUNCTION("""COMPUTED_VALUE"""),38656694)</f>
        <v>38656694</v>
      </c>
      <c r="D34" s="2" t="str">
        <f ca="1">IFERROR(__xludf.DUMMYFUNCTION("""COMPUTED_VALUE"""),"MG-SJ: 3.499,-")</f>
        <v>MG-SJ: 3.499,-</v>
      </c>
      <c r="E34" s="2">
        <f ca="1">IFERROR(__xludf.DUMMYFUNCTION("""COMPUTED_VALUE"""),1202)</f>
        <v>1202</v>
      </c>
      <c r="F34" s="2" t="str">
        <f ca="1">IFERROR(__xludf.DUMMYFUNCTION("""COMPUTED_VALUE"""),"Tommi Frank Madsen")</f>
        <v>Tommi Frank Madsen</v>
      </c>
      <c r="G34" s="2" t="str">
        <f ca="1">IFERROR(__xludf.DUMMYFUNCTION("""COMPUTED_VALUE"""),"tfm@nybolig.dk")</f>
        <v>tfm@nybolig.dk</v>
      </c>
      <c r="H34" s="2"/>
      <c r="I34" s="2" t="str">
        <f ca="1">IFERROR(__xludf.DUMMYFUNCTION("""COMPUTED_VALUE"""),"Hovedgaden 9")</f>
        <v>Hovedgaden 9</v>
      </c>
      <c r="J34" s="2">
        <f ca="1">IFERROR(__xludf.DUMMYFUNCTION("""COMPUTED_VALUE"""),3460)</f>
        <v>3460</v>
      </c>
      <c r="K34" s="2" t="str">
        <f ca="1">IFERROR(__xludf.DUMMYFUNCTION("""COMPUTED_VALUE"""),"Birkerød")</f>
        <v>Birkerød</v>
      </c>
      <c r="L34" s="2" t="str">
        <f ca="1">IFERROR(__xludf.DUMMYFUNCTION("""COMPUTED_VALUE"""),"Rudersdal")</f>
        <v>Rudersdal</v>
      </c>
      <c r="M34" s="2" t="str">
        <f ca="1">IFERROR(__xludf.DUMMYFUNCTION("""COMPUTED_VALUE"""),"Nordsjælland")</f>
        <v>Nordsjælland</v>
      </c>
      <c r="N34" s="2" t="str">
        <f ca="1">IFERROR(__xludf.DUMMYFUNCTION("""COMPUTED_VALUE"""),"Hovedstaden")</f>
        <v>Hovedstaden</v>
      </c>
      <c r="O34" s="2" t="str">
        <f ca="1">IFERROR(__xludf.DUMMYFUNCTION("""COMPUTED_VALUE"""),"4516 1200")</f>
        <v>4516 1200</v>
      </c>
      <c r="P34" s="2" t="str">
        <f ca="1">IFERROR(__xludf.DUMMYFUNCTION("""COMPUTED_VALUE"""),"3460@nybolig.dk")</f>
        <v>3460@nybolig.dk</v>
      </c>
      <c r="Q34" s="27" t="str">
        <f ca="1">IFERROR(__xludf.DUMMYFUNCTION("""COMPUTED_VALUE"""),"https://www.boliga.dk/maegler/23473")</f>
        <v>https://www.boliga.dk/maegler/23473</v>
      </c>
      <c r="R34" s="2" t="str">
        <f ca="1">IFERROR(__xludf.DUMMYFUNCTION("""COMPUTED_VALUE"""),"-")</f>
        <v>-</v>
      </c>
      <c r="S34" s="2" t="str">
        <f ca="1">IFERROR(__xludf.DUMMYFUNCTION("""COMPUTED_VALUE"""),"-")</f>
        <v>-</v>
      </c>
      <c r="T34" s="2" t="str">
        <f ca="1">IFERROR(__xludf.DUMMYFUNCTION("""COMPUTED_VALUE"""),"-")</f>
        <v>-</v>
      </c>
      <c r="U34" s="2">
        <f ca="1">IFERROR(__xludf.DUMMYFUNCTION("""COMPUTED_VALUE"""),3)</f>
        <v>3</v>
      </c>
      <c r="V34" s="2">
        <f ca="1">IFERROR(__xludf.DUMMYFUNCTION("""COMPUTED_VALUE"""),3460)</f>
        <v>3460</v>
      </c>
      <c r="W34" s="2">
        <f ca="1">IFERROR(__xludf.DUMMYFUNCTION("""COMPUTED_VALUE"""),6)</f>
        <v>6</v>
      </c>
      <c r="X34" s="2">
        <f ca="1">IFERROR(__xludf.DUMMYFUNCTION("""COMPUTED_VALUE"""),3460)</f>
        <v>3460</v>
      </c>
      <c r="Y34" s="2" t="str">
        <f ca="1">IFERROR(__xludf.DUMMYFUNCTION("""COMPUTED_VALUE"""),"ja")</f>
        <v>ja</v>
      </c>
      <c r="Z34" s="2" t="str">
        <f ca="1">IFERROR(__xludf.DUMMYFUNCTION("""COMPUTED_VALUE"""),"han mente det var noget der skulle cleares ved nykredit mægler inden han kunne sige endeligt ja, men var positiv, har også Allerød")</f>
        <v>han mente det var noget der skulle cleares ved nykredit mægler inden han kunne sige endeligt ja, men var positiv, har også Allerød</v>
      </c>
      <c r="AA34" s="2"/>
      <c r="AB34" s="2" t="str">
        <f ca="1">IFERROR(__xludf.DUMMYFUNCTION("""COMPUTED_VALUE"""),"x")</f>
        <v>x</v>
      </c>
      <c r="AC34" s="2" t="str">
        <f ca="1">IFERROR(__xludf.DUMMYFUNCTION("""COMPUTED_VALUE"""),"x")</f>
        <v>x</v>
      </c>
    </row>
    <row r="35" spans="1:29" ht="12.45">
      <c r="A35" s="2" t="str">
        <f ca="1">IFERROR(__xludf.DUMMYFUNCTION("""COMPUTED_VALUE"""),"Christian")</f>
        <v>Christian</v>
      </c>
      <c r="B35" s="2" t="str">
        <f ca="1">IFERROR(__xludf.DUMMYFUNCTION("""COMPUTED_VALUE"""),"Nybolig Værløse - Andreasen &amp; Terman")</f>
        <v>Nybolig Værløse - Andreasen &amp; Terman</v>
      </c>
      <c r="C35" s="2"/>
      <c r="D35" s="2"/>
      <c r="E35" s="2" t="str">
        <f ca="1">IFERROR(__xludf.DUMMYFUNCTION("""COMPUTED_VALUE"""),"N/A")</f>
        <v>N/A</v>
      </c>
      <c r="F35" s="2"/>
      <c r="G35" s="2"/>
      <c r="H35" s="2"/>
      <c r="I35" s="2" t="str">
        <f ca="1">IFERROR(__xludf.DUMMYFUNCTION("""COMPUTED_VALUE"""),"Bymidten 50A")</f>
        <v>Bymidten 50A</v>
      </c>
      <c r="J35" s="2">
        <f ca="1">IFERROR(__xludf.DUMMYFUNCTION("""COMPUTED_VALUE"""),3500)</f>
        <v>3500</v>
      </c>
      <c r="K35" s="2" t="str">
        <f ca="1">IFERROR(__xludf.DUMMYFUNCTION("""COMPUTED_VALUE"""),"Værløse")</f>
        <v>Værløse</v>
      </c>
      <c r="L35" s="2" t="str">
        <f ca="1">IFERROR(__xludf.DUMMYFUNCTION("""COMPUTED_VALUE"""),"Furesø")</f>
        <v>Furesø</v>
      </c>
      <c r="M35" s="2" t="str">
        <f ca="1">IFERROR(__xludf.DUMMYFUNCTION("""COMPUTED_VALUE"""),"Nordsjælland")</f>
        <v>Nordsjælland</v>
      </c>
      <c r="N35" s="2" t="str">
        <f ca="1">IFERROR(__xludf.DUMMYFUNCTION("""COMPUTED_VALUE"""),"Hovedstaden")</f>
        <v>Hovedstaden</v>
      </c>
      <c r="O35" s="2" t="str">
        <f ca="1">IFERROR(__xludf.DUMMYFUNCTION("""COMPUTED_VALUE"""),"4498 3500")</f>
        <v>4498 3500</v>
      </c>
      <c r="P35" s="2" t="str">
        <f ca="1">IFERROR(__xludf.DUMMYFUNCTION("""COMPUTED_VALUE"""),"3500@nybolig.dk")</f>
        <v>3500@nybolig.dk</v>
      </c>
      <c r="Q35" s="27" t="str">
        <f ca="1">IFERROR(__xludf.DUMMYFUNCTION("""COMPUTED_VALUE"""),"https://www.boliga.dk/maegler/23511")</f>
        <v>https://www.boliga.dk/maegler/23511</v>
      </c>
      <c r="R35" s="2" t="str">
        <f ca="1">IFERROR(__xludf.DUMMYFUNCTION("""COMPUTED_VALUE"""),"-")</f>
        <v>-</v>
      </c>
      <c r="S35" s="2" t="str">
        <f ca="1">IFERROR(__xludf.DUMMYFUNCTION("""COMPUTED_VALUE"""),"-")</f>
        <v>-</v>
      </c>
      <c r="T35" s="2" t="str">
        <f ca="1">IFERROR(__xludf.DUMMYFUNCTION("""COMPUTED_VALUE"""),"-")</f>
        <v>-</v>
      </c>
      <c r="U35" s="2">
        <f ca="1">IFERROR(__xludf.DUMMYFUNCTION("""COMPUTED_VALUE"""),3)</f>
        <v>3</v>
      </c>
      <c r="V35" s="2">
        <f ca="1">IFERROR(__xludf.DUMMYFUNCTION("""COMPUTED_VALUE"""),3500)</f>
        <v>3500</v>
      </c>
      <c r="W35" s="2">
        <f ca="1">IFERROR(__xludf.DUMMYFUNCTION("""COMPUTED_VALUE"""),7)</f>
        <v>7</v>
      </c>
      <c r="X35" s="2">
        <f ca="1">IFERROR(__xludf.DUMMYFUNCTION("""COMPUTED_VALUE"""),3500)</f>
        <v>3500</v>
      </c>
      <c r="Y35" s="2" t="str">
        <f ca="1">IFERROR(__xludf.DUMMYFUNCTION("""COMPUTED_VALUE"""),"ja")</f>
        <v>ja</v>
      </c>
      <c r="Z35" s="2" t="str">
        <f ca="1">IFERROR(__xludf.DUMMYFUNCTION("""COMPUTED_VALUE"""),"se nybolig farum")</f>
        <v>se nybolig farum</v>
      </c>
      <c r="AA35" s="2"/>
      <c r="AB35" s="2"/>
      <c r="AC35" s="2"/>
    </row>
    <row r="36" spans="1:29" ht="12.45">
      <c r="A36" s="2" t="str">
        <f ca="1">IFERROR(__xludf.DUMMYFUNCTION("""COMPUTED_VALUE"""),"Christian")</f>
        <v>Christian</v>
      </c>
      <c r="B36" s="2" t="str">
        <f ca="1">IFERROR(__xludf.DUMMYFUNCTION("""COMPUTED_VALUE"""),"Nybolig Farum - Andreasen &amp; Terman")</f>
        <v>Nybolig Farum - Andreasen &amp; Terman</v>
      </c>
      <c r="C36" s="2"/>
      <c r="D36" s="2" t="str">
        <f ca="1">IFERROR(__xludf.DUMMYFUNCTION("""COMPUTED_VALUE"""),"MG-SJ: 3.499,-")</f>
        <v>MG-SJ: 3.499,-</v>
      </c>
      <c r="E36" s="2">
        <f ca="1">IFERROR(__xludf.DUMMYFUNCTION("""COMPUTED_VALUE"""),1202)</f>
        <v>1202</v>
      </c>
      <c r="F36" s="2"/>
      <c r="G36" s="2"/>
      <c r="H36" s="2"/>
      <c r="I36" s="2" t="str">
        <f ca="1">IFERROR(__xludf.DUMMYFUNCTION("""COMPUTED_VALUE"""),"Farum Hovedgade 11")</f>
        <v>Farum Hovedgade 11</v>
      </c>
      <c r="J36" s="2">
        <f ca="1">IFERROR(__xludf.DUMMYFUNCTION("""COMPUTED_VALUE"""),3520)</f>
        <v>3520</v>
      </c>
      <c r="K36" s="2" t="str">
        <f ca="1">IFERROR(__xludf.DUMMYFUNCTION("""COMPUTED_VALUE"""),"Farum")</f>
        <v>Farum</v>
      </c>
      <c r="L36" s="2" t="str">
        <f ca="1">IFERROR(__xludf.DUMMYFUNCTION("""COMPUTED_VALUE"""),"Furesø")</f>
        <v>Furesø</v>
      </c>
      <c r="M36" s="2" t="str">
        <f ca="1">IFERROR(__xludf.DUMMYFUNCTION("""COMPUTED_VALUE"""),"Nordsjælland")</f>
        <v>Nordsjælland</v>
      </c>
      <c r="N36" s="2" t="str">
        <f ca="1">IFERROR(__xludf.DUMMYFUNCTION("""COMPUTED_VALUE"""),"Hovedstaden")</f>
        <v>Hovedstaden</v>
      </c>
      <c r="O36" s="2">
        <f ca="1">IFERROR(__xludf.DUMMYFUNCTION("""COMPUTED_VALUE"""),44983520)</f>
        <v>44983520</v>
      </c>
      <c r="P36" s="2" t="str">
        <f ca="1">IFERROR(__xludf.DUMMYFUNCTION("""COMPUTED_VALUE"""),"3520@nybolig.dk")</f>
        <v>3520@nybolig.dk</v>
      </c>
      <c r="Q36" s="27" t="str">
        <f ca="1">IFERROR(__xludf.DUMMYFUNCTION("""COMPUTED_VALUE"""),"https://www.boliga.dk/maegler/20780")</f>
        <v>https://www.boliga.dk/maegler/20780</v>
      </c>
      <c r="R36" s="2" t="str">
        <f ca="1">IFERROR(__xludf.DUMMYFUNCTION("""COMPUTED_VALUE"""),"-")</f>
        <v>-</v>
      </c>
      <c r="S36" s="2" t="str">
        <f ca="1">IFERROR(__xludf.DUMMYFUNCTION("""COMPUTED_VALUE"""),"-")</f>
        <v>-</v>
      </c>
      <c r="T36" s="2" t="str">
        <f ca="1">IFERROR(__xludf.DUMMYFUNCTION("""COMPUTED_VALUE"""),"-")</f>
        <v>-</v>
      </c>
      <c r="U36" s="2">
        <f ca="1">IFERROR(__xludf.DUMMYFUNCTION("""COMPUTED_VALUE"""),3)</f>
        <v>3</v>
      </c>
      <c r="V36" s="2">
        <f ca="1">IFERROR(__xludf.DUMMYFUNCTION("""COMPUTED_VALUE"""),3520)</f>
        <v>3520</v>
      </c>
      <c r="W36" s="2">
        <f ca="1">IFERROR(__xludf.DUMMYFUNCTION("""COMPUTED_VALUE"""),20)</f>
        <v>20</v>
      </c>
      <c r="X36" s="2">
        <f ca="1">IFERROR(__xludf.DUMMYFUNCTION("""COMPUTED_VALUE"""),3520)</f>
        <v>3520</v>
      </c>
      <c r="Y36" s="2" t="str">
        <f ca="1">IFERROR(__xludf.DUMMYFUNCTION("""COMPUTED_VALUE"""),"ja")</f>
        <v>ja</v>
      </c>
      <c r="Z36" s="2" t="str">
        <f ca="1">IFERROR(__xludf.DUMMYFUNCTION("""COMPUTED_VALUE"""),"han havde mange spørgsmål men er int, kigger betingelser - sendt mail igen 15/8")</f>
        <v>han havde mange spørgsmål men er int, kigger betingelser - sendt mail igen 15/8</v>
      </c>
      <c r="AA36" s="2"/>
      <c r="AB36" s="2" t="str">
        <f ca="1">IFERROR(__xludf.DUMMYFUNCTION("""COMPUTED_VALUE"""),"x")</f>
        <v>x</v>
      </c>
      <c r="AC36" s="2"/>
    </row>
    <row r="37" spans="1:29" ht="12.45">
      <c r="A37" s="2" t="str">
        <f ca="1">IFERROR(__xludf.DUMMYFUNCTION("""COMPUTED_VALUE"""),"Christian")</f>
        <v>Christian</v>
      </c>
      <c r="B37" s="2" t="str">
        <f ca="1">IFERROR(__xludf.DUMMYFUNCTION("""COMPUTED_VALUE"""),"Nybolig Egedal")</f>
        <v>Nybolig Egedal</v>
      </c>
      <c r="C37" s="2">
        <f ca="1">IFERROR(__xludf.DUMMYFUNCTION("""COMPUTED_VALUE"""),42060992)</f>
        <v>42060992</v>
      </c>
      <c r="D37" s="2" t="str">
        <f ca="1">IFERROR(__xludf.DUMMYFUNCTION("""COMPUTED_VALUE"""),"MG-SJ: 3.499,-")</f>
        <v>MG-SJ: 3.499,-</v>
      </c>
      <c r="E37" s="2">
        <f ca="1">IFERROR(__xludf.DUMMYFUNCTION("""COMPUTED_VALUE"""),1202)</f>
        <v>1202</v>
      </c>
      <c r="F37" s="2" t="str">
        <f ca="1">IFERROR(__xludf.DUMMYFUNCTION("""COMPUTED_VALUE"""),"Allan Bendsen")</f>
        <v>Allan Bendsen</v>
      </c>
      <c r="G37" s="2" t="str">
        <f ca="1">IFERROR(__xludf.DUMMYFUNCTION("""COMPUTED_VALUE"""),"abx@nybolig.dk")</f>
        <v>abx@nybolig.dk</v>
      </c>
      <c r="H37" s="2"/>
      <c r="I37" s="2" t="str">
        <f ca="1">IFERROR(__xludf.DUMMYFUNCTION("""COMPUTED_VALUE"""),"Egedal Centret 95D")</f>
        <v>Egedal Centret 95D</v>
      </c>
      <c r="J37" s="2">
        <f ca="1">IFERROR(__xludf.DUMMYFUNCTION("""COMPUTED_VALUE"""),3660)</f>
        <v>3660</v>
      </c>
      <c r="K37" s="2" t="str">
        <f ca="1">IFERROR(__xludf.DUMMYFUNCTION("""COMPUTED_VALUE"""),"Stenløse")</f>
        <v>Stenløse</v>
      </c>
      <c r="L37" s="2" t="str">
        <f ca="1">IFERROR(__xludf.DUMMYFUNCTION("""COMPUTED_VALUE"""),"Egedal")</f>
        <v>Egedal</v>
      </c>
      <c r="M37" s="2" t="str">
        <f ca="1">IFERROR(__xludf.DUMMYFUNCTION("""COMPUTED_VALUE"""),"Nordsjælland")</f>
        <v>Nordsjælland</v>
      </c>
      <c r="N37" s="2" t="str">
        <f ca="1">IFERROR(__xludf.DUMMYFUNCTION("""COMPUTED_VALUE"""),"Hovedstaden")</f>
        <v>Hovedstaden</v>
      </c>
      <c r="O37" s="2">
        <f ca="1">IFERROR(__xludf.DUMMYFUNCTION("""COMPUTED_VALUE"""),47101050)</f>
        <v>47101050</v>
      </c>
      <c r="P37" s="2" t="str">
        <f ca="1">IFERROR(__xludf.DUMMYFUNCTION("""COMPUTED_VALUE"""),"3660@nybolig.dk")</f>
        <v>3660@nybolig.dk</v>
      </c>
      <c r="Q37" s="27" t="str">
        <f ca="1">IFERROR(__xludf.DUMMYFUNCTION("""COMPUTED_VALUE"""),"https://www.boliga.dk/maegler/29025")</f>
        <v>https://www.boliga.dk/maegler/29025</v>
      </c>
      <c r="R37" s="2" t="str">
        <f ca="1">IFERROR(__xludf.DUMMYFUNCTION("""COMPUTED_VALUE"""),"-")</f>
        <v>-</v>
      </c>
      <c r="S37" s="2" t="str">
        <f ca="1">IFERROR(__xludf.DUMMYFUNCTION("""COMPUTED_VALUE"""),"-")</f>
        <v>-</v>
      </c>
      <c r="T37" s="2" t="str">
        <f ca="1">IFERROR(__xludf.DUMMYFUNCTION("""COMPUTED_VALUE"""),"-")</f>
        <v>-</v>
      </c>
      <c r="U37" s="2">
        <f ca="1">IFERROR(__xludf.DUMMYFUNCTION("""COMPUTED_VALUE"""),3)</f>
        <v>3</v>
      </c>
      <c r="V37" s="2">
        <f ca="1">IFERROR(__xludf.DUMMYFUNCTION("""COMPUTED_VALUE"""),3650)</f>
        <v>3650</v>
      </c>
      <c r="W37" s="2">
        <f ca="1">IFERROR(__xludf.DUMMYFUNCTION("""COMPUTED_VALUE"""),6)</f>
        <v>6</v>
      </c>
      <c r="X37" s="2" t="str">
        <f ca="1">IFERROR(__xludf.DUMMYFUNCTION("""COMPUTED_VALUE"""),"3660, 3650")</f>
        <v>3660, 3650</v>
      </c>
      <c r="Y37" s="2" t="str">
        <f ca="1">IFERROR(__xludf.DUMMYFUNCTION("""COMPUTED_VALUE"""),"ja")</f>
        <v>ja</v>
      </c>
      <c r="Z37" s="2" t="str">
        <f ca="1">IFERROR(__xludf.DUMMYFUNCTION("""COMPUTED_VALUE"""),"se jyllinge")</f>
        <v>se jyllinge</v>
      </c>
      <c r="AA37" s="2"/>
      <c r="AB37" s="2" t="str">
        <f ca="1">IFERROR(__xludf.DUMMYFUNCTION("""COMPUTED_VALUE"""),"x")</f>
        <v>x</v>
      </c>
      <c r="AC37" s="2" t="str">
        <f ca="1">IFERROR(__xludf.DUMMYFUNCTION("""COMPUTED_VALUE"""),"x")</f>
        <v>x</v>
      </c>
    </row>
    <row r="38" spans="1:29" ht="12.45">
      <c r="A38" s="2" t="str">
        <f ca="1">IFERROR(__xludf.DUMMYFUNCTION("""COMPUTED_VALUE"""),"Christian")</f>
        <v>Christian</v>
      </c>
      <c r="B38" s="2" t="str">
        <f ca="1">IFERROR(__xludf.DUMMYFUNCTION("""COMPUTED_VALUE"""),"Nybolig Rønne")</f>
        <v>Nybolig Rønne</v>
      </c>
      <c r="C38" s="2">
        <f ca="1">IFERROR(__xludf.DUMMYFUNCTION("""COMPUTED_VALUE"""),27290582)</f>
        <v>27290582</v>
      </c>
      <c r="D38" s="2" t="str">
        <f ca="1">IFERROR(__xludf.DUMMYFUNCTION("""COMPUTED_VALUE"""),"MG-JY: 2.499,-")</f>
        <v>MG-JY: 2.499,-</v>
      </c>
      <c r="E38" s="2">
        <f ca="1">IFERROR(__xludf.DUMMYFUNCTION("""COMPUTED_VALUE"""),1201)</f>
        <v>1201</v>
      </c>
      <c r="F38" s="2" t="str">
        <f ca="1">IFERROR(__xludf.DUMMYFUNCTION("""COMPUTED_VALUE"""),"Kim Moore-Kofod")</f>
        <v>Kim Moore-Kofod</v>
      </c>
      <c r="G38" s="2" t="str">
        <f ca="1">IFERROR(__xludf.DUMMYFUNCTION("""COMPUTED_VALUE"""),"kmk@nybolig.dk")</f>
        <v>kmk@nybolig.dk</v>
      </c>
      <c r="H38" s="2" t="str">
        <f ca="1">IFERROR(__xludf.DUMMYFUNCTION("""COMPUTED_VALUE"""),"5695 7828")</f>
        <v>5695 7828</v>
      </c>
      <c r="I38" s="2" t="str">
        <f ca="1">IFERROR(__xludf.DUMMYFUNCTION("""COMPUTED_VALUE"""),"Snellemark 41 C")</f>
        <v>Snellemark 41 C</v>
      </c>
      <c r="J38" s="2">
        <f ca="1">IFERROR(__xludf.DUMMYFUNCTION("""COMPUTED_VALUE"""),3700)</f>
        <v>3700</v>
      </c>
      <c r="K38" s="2" t="str">
        <f ca="1">IFERROR(__xludf.DUMMYFUNCTION("""COMPUTED_VALUE"""),"Rønne")</f>
        <v>Rønne</v>
      </c>
      <c r="L38" s="2" t="str">
        <f ca="1">IFERROR(__xludf.DUMMYFUNCTION("""COMPUTED_VALUE"""),"Bornholm")</f>
        <v>Bornholm</v>
      </c>
      <c r="M38" s="2" t="str">
        <f ca="1">IFERROR(__xludf.DUMMYFUNCTION("""COMPUTED_VALUE"""),"Bornholm")</f>
        <v>Bornholm</v>
      </c>
      <c r="N38" s="2" t="str">
        <f ca="1">IFERROR(__xludf.DUMMYFUNCTION("""COMPUTED_VALUE"""),"Hovedstaden")</f>
        <v>Hovedstaden</v>
      </c>
      <c r="O38" s="2" t="str">
        <f ca="1">IFERROR(__xludf.DUMMYFUNCTION("""COMPUTED_VALUE"""),"5695 7828")</f>
        <v>5695 7828</v>
      </c>
      <c r="P38" s="2" t="str">
        <f ca="1">IFERROR(__xludf.DUMMYFUNCTION("""COMPUTED_VALUE"""),"3700@nybolig.dk")</f>
        <v>3700@nybolig.dk</v>
      </c>
      <c r="Q38" s="27" t="str">
        <f ca="1">IFERROR(__xludf.DUMMYFUNCTION("""COMPUTED_VALUE"""),"https://www.boliga.dk/maegler/413")</f>
        <v>https://www.boliga.dk/maegler/413</v>
      </c>
      <c r="R38" s="2" t="str">
        <f ca="1">IFERROR(__xludf.DUMMYFUNCTION("""COMPUTED_VALUE"""),"-")</f>
        <v>-</v>
      </c>
      <c r="S38" s="2" t="str">
        <f ca="1">IFERROR(__xludf.DUMMYFUNCTION("""COMPUTED_VALUE"""),"-")</f>
        <v>-</v>
      </c>
      <c r="T38" s="2" t="str">
        <f ca="1">IFERROR(__xludf.DUMMYFUNCTION("""COMPUTED_VALUE"""),"-")</f>
        <v>-</v>
      </c>
      <c r="U38" s="2">
        <f ca="1">IFERROR(__xludf.DUMMYFUNCTION("""COMPUTED_VALUE"""),27)</f>
        <v>27</v>
      </c>
      <c r="V38" s="2" t="str">
        <f ca="1">IFERROR(__xludf.DUMMYFUNCTION("""COMPUTED_VALUE"""),"3760, 3790, 3782, 3700, 3770")</f>
        <v>3760, 3790, 3782, 3700, 3770</v>
      </c>
      <c r="W38" s="2">
        <f ca="1">IFERROR(__xludf.DUMMYFUNCTION("""COMPUTED_VALUE"""),41)</f>
        <v>41</v>
      </c>
      <c r="X38" s="2" t="str">
        <f ca="1">IFERROR(__xludf.DUMMYFUNCTION("""COMPUTED_VALUE"""),"3760, 3700, 3782, 3720, 3770, 3790")</f>
        <v>3760, 3700, 3782, 3720, 3770, 3790</v>
      </c>
      <c r="Y38" s="2" t="str">
        <f ca="1">IFERROR(__xludf.DUMMYFUNCTION("""COMPUTED_VALUE"""),"ja")</f>
        <v>ja</v>
      </c>
      <c r="Z38" s="2" t="str">
        <f ca="1">IFERROR(__xludf.DUMMYFUNCTION("""COMPUTED_VALUE"""),"Kim Moore-Kofoed - lagt besked 25/5 - kim er klar")</f>
        <v>Kim Moore-Kofoed - lagt besked 25/5 - kim er klar</v>
      </c>
      <c r="AA38" s="2"/>
      <c r="AB38" s="2" t="str">
        <f ca="1">IFERROR(__xludf.DUMMYFUNCTION("""COMPUTED_VALUE"""),"x")</f>
        <v>x</v>
      </c>
      <c r="AC38" s="2" t="str">
        <f ca="1">IFERROR(__xludf.DUMMYFUNCTION("""COMPUTED_VALUE"""),"x")</f>
        <v>x</v>
      </c>
    </row>
    <row r="39" spans="1:29" ht="12.45">
      <c r="A39" s="2" t="str">
        <f ca="1">IFERROR(__xludf.DUMMYFUNCTION("""COMPUTED_VALUE"""),"Christian")</f>
        <v>Christian</v>
      </c>
      <c r="B39" s="2" t="str">
        <f ca="1">IFERROR(__xludf.DUMMYFUNCTION("""COMPUTED_VALUE"""),"Nybolig Nexø")</f>
        <v>Nybolig Nexø</v>
      </c>
      <c r="C39" s="2">
        <f ca="1">IFERROR(__xludf.DUMMYFUNCTION("""COMPUTED_VALUE"""),27290582)</f>
        <v>27290582</v>
      </c>
      <c r="D39" s="2" t="str">
        <f ca="1">IFERROR(__xludf.DUMMYFUNCTION("""COMPUTED_VALUE"""),"MG-JY: 2.499,-")</f>
        <v>MG-JY: 2.499,-</v>
      </c>
      <c r="E39" s="2">
        <f ca="1">IFERROR(__xludf.DUMMYFUNCTION("""COMPUTED_VALUE"""),1201)</f>
        <v>1201</v>
      </c>
      <c r="F39" s="2" t="str">
        <f ca="1">IFERROR(__xludf.DUMMYFUNCTION("""COMPUTED_VALUE"""),"Kim Moore-Kofod")</f>
        <v>Kim Moore-Kofod</v>
      </c>
      <c r="G39" s="2" t="str">
        <f ca="1">IFERROR(__xludf.DUMMYFUNCTION("""COMPUTED_VALUE"""),"kmk@nybolig.dk")</f>
        <v>kmk@nybolig.dk</v>
      </c>
      <c r="H39" s="2" t="str">
        <f ca="1">IFERROR(__xludf.DUMMYFUNCTION("""COMPUTED_VALUE"""),"5695 7828")</f>
        <v>5695 7828</v>
      </c>
      <c r="I39" s="2" t="str">
        <f ca="1">IFERROR(__xludf.DUMMYFUNCTION("""COMPUTED_VALUE"""),"Købmagergade 5")</f>
        <v>Købmagergade 5</v>
      </c>
      <c r="J39" s="2">
        <f ca="1">IFERROR(__xludf.DUMMYFUNCTION("""COMPUTED_VALUE"""),3730)</f>
        <v>3730</v>
      </c>
      <c r="K39" s="2" t="str">
        <f ca="1">IFERROR(__xludf.DUMMYFUNCTION("""COMPUTED_VALUE"""),"Nexø")</f>
        <v>Nexø</v>
      </c>
      <c r="L39" s="2" t="str">
        <f ca="1">IFERROR(__xludf.DUMMYFUNCTION("""COMPUTED_VALUE"""),"Bornholm")</f>
        <v>Bornholm</v>
      </c>
      <c r="M39" s="2" t="str">
        <f ca="1">IFERROR(__xludf.DUMMYFUNCTION("""COMPUTED_VALUE"""),"Bornholm")</f>
        <v>Bornholm</v>
      </c>
      <c r="N39" s="2" t="str">
        <f ca="1">IFERROR(__xludf.DUMMYFUNCTION("""COMPUTED_VALUE"""),"Hovedstaden")</f>
        <v>Hovedstaden</v>
      </c>
      <c r="O39" s="2" t="str">
        <f ca="1">IFERROR(__xludf.DUMMYFUNCTION("""COMPUTED_VALUE"""),"5649 7828")</f>
        <v>5649 7828</v>
      </c>
      <c r="P39" s="2" t="str">
        <f ca="1">IFERROR(__xludf.DUMMYFUNCTION("""COMPUTED_VALUE"""),"3730@nybolig.dk")</f>
        <v>3730@nybolig.dk</v>
      </c>
      <c r="Q39" s="27" t="str">
        <f ca="1">IFERROR(__xludf.DUMMYFUNCTION("""COMPUTED_VALUE"""),"https://www.boliga.dk/maegler/680")</f>
        <v>https://www.boliga.dk/maegler/680</v>
      </c>
      <c r="R39" s="2" t="str">
        <f ca="1">IFERROR(__xludf.DUMMYFUNCTION("""COMPUTED_VALUE"""),"-")</f>
        <v>-</v>
      </c>
      <c r="S39" s="2" t="str">
        <f ca="1">IFERROR(__xludf.DUMMYFUNCTION("""COMPUTED_VALUE"""),"-")</f>
        <v>-</v>
      </c>
      <c r="T39" s="2" t="str">
        <f ca="1">IFERROR(__xludf.DUMMYFUNCTION("""COMPUTED_VALUE"""),"-")</f>
        <v>-</v>
      </c>
      <c r="U39" s="2">
        <f ca="1">IFERROR(__xludf.DUMMYFUNCTION("""COMPUTED_VALUE"""),21)</f>
        <v>21</v>
      </c>
      <c r="V39" s="2" t="str">
        <f ca="1">IFERROR(__xludf.DUMMYFUNCTION("""COMPUTED_VALUE"""),"3720, 3730, 3760, 3740, 3751")</f>
        <v>3720, 3730, 3760, 3740, 3751</v>
      </c>
      <c r="W39" s="2">
        <f ca="1">IFERROR(__xludf.DUMMYFUNCTION("""COMPUTED_VALUE"""),23)</f>
        <v>23</v>
      </c>
      <c r="X39" s="2" t="str">
        <f ca="1">IFERROR(__xludf.DUMMYFUNCTION("""COMPUTED_VALUE"""),"3720, 3740, 3730, 3751")</f>
        <v>3720, 3740, 3730, 3751</v>
      </c>
      <c r="Y39" s="2" t="str">
        <f ca="1">IFERROR(__xludf.DUMMYFUNCTION("""COMPUTED_VALUE"""),"ja")</f>
        <v>ja</v>
      </c>
      <c r="Z39" s="2" t="str">
        <f ca="1">IFERROR(__xludf.DUMMYFUNCTION("""COMPUTED_VALUE"""),"se Rønne")</f>
        <v>se Rønne</v>
      </c>
      <c r="AA39" s="2"/>
      <c r="AB39" s="2" t="str">
        <f ca="1">IFERROR(__xludf.DUMMYFUNCTION("""COMPUTED_VALUE"""),"x")</f>
        <v>x</v>
      </c>
      <c r="AC39" s="2" t="str">
        <f ca="1">IFERROR(__xludf.DUMMYFUNCTION("""COMPUTED_VALUE"""),"x")</f>
        <v>x</v>
      </c>
    </row>
    <row r="40" spans="1:29" ht="12.45">
      <c r="A40" s="2" t="str">
        <f ca="1">IFERROR(__xludf.DUMMYFUNCTION("""COMPUTED_VALUE"""),"Christian")</f>
        <v>Christian</v>
      </c>
      <c r="B40" s="2" t="str">
        <f ca="1">IFERROR(__xludf.DUMMYFUNCTION("""COMPUTED_VALUE"""),"Nybolig Roskilde - Lars Dalsgaard")</f>
        <v>Nybolig Roskilde - Lars Dalsgaard</v>
      </c>
      <c r="C40" s="2">
        <f ca="1">IFERROR(__xludf.DUMMYFUNCTION("""COMPUTED_VALUE"""),42060992)</f>
        <v>42060992</v>
      </c>
      <c r="D40" s="2" t="str">
        <f ca="1">IFERROR(__xludf.DUMMYFUNCTION("""COMPUTED_VALUE"""),"MG-SJ: 3.499,-")</f>
        <v>MG-SJ: 3.499,-</v>
      </c>
      <c r="E40" s="2">
        <f ca="1">IFERROR(__xludf.DUMMYFUNCTION("""COMPUTED_VALUE"""),1202)</f>
        <v>1202</v>
      </c>
      <c r="F40" s="2" t="str">
        <f ca="1">IFERROR(__xludf.DUMMYFUNCTION("""COMPUTED_VALUE"""),"Allan Bendsen")</f>
        <v>Allan Bendsen</v>
      </c>
      <c r="G40" s="2" t="str">
        <f ca="1">IFERROR(__xludf.DUMMYFUNCTION("""COMPUTED_VALUE"""),"abx@nybolig.dk")</f>
        <v>abx@nybolig.dk</v>
      </c>
      <c r="H40" s="2"/>
      <c r="I40" s="2" t="str">
        <f ca="1">IFERROR(__xludf.DUMMYFUNCTION("""COMPUTED_VALUE"""),"Allehelgensgade 33")</f>
        <v>Allehelgensgade 33</v>
      </c>
      <c r="J40" s="2">
        <f ca="1">IFERROR(__xludf.DUMMYFUNCTION("""COMPUTED_VALUE"""),4000)</f>
        <v>4000</v>
      </c>
      <c r="K40" s="2" t="str">
        <f ca="1">IFERROR(__xludf.DUMMYFUNCTION("""COMPUTED_VALUE"""),"Roskilde")</f>
        <v>Roskilde</v>
      </c>
      <c r="L40" s="2" t="str">
        <f ca="1">IFERROR(__xludf.DUMMYFUNCTION("""COMPUTED_VALUE"""),"Roskilde")</f>
        <v>Roskilde</v>
      </c>
      <c r="M40" s="2" t="str">
        <f ca="1">IFERROR(__xludf.DUMMYFUNCTION("""COMPUTED_VALUE"""),"Østsjælland")</f>
        <v>Østsjælland</v>
      </c>
      <c r="N40" s="2" t="str">
        <f ca="1">IFERROR(__xludf.DUMMYFUNCTION("""COMPUTED_VALUE"""),"Sjælland")</f>
        <v>Sjælland</v>
      </c>
      <c r="O40" s="2" t="str">
        <f ca="1">IFERROR(__xludf.DUMMYFUNCTION("""COMPUTED_VALUE"""),"4635 5000")</f>
        <v>4635 5000</v>
      </c>
      <c r="P40" s="2" t="str">
        <f ca="1">IFERROR(__xludf.DUMMYFUNCTION("""COMPUTED_VALUE"""),"4001@nybolig.dk")</f>
        <v>4001@nybolig.dk</v>
      </c>
      <c r="Q40" s="27" t="str">
        <f ca="1">IFERROR(__xludf.DUMMYFUNCTION("""COMPUTED_VALUE"""),"https://www.boliga.dk/maegler/397")</f>
        <v>https://www.boliga.dk/maegler/397</v>
      </c>
      <c r="R40" s="2" t="str">
        <f ca="1">IFERROR(__xludf.DUMMYFUNCTION("""COMPUTED_VALUE"""),"-")</f>
        <v>-</v>
      </c>
      <c r="S40" s="2" t="str">
        <f ca="1">IFERROR(__xludf.DUMMYFUNCTION("""COMPUTED_VALUE"""),"-")</f>
        <v>-</v>
      </c>
      <c r="T40" s="2" t="str">
        <f ca="1">IFERROR(__xludf.DUMMYFUNCTION("""COMPUTED_VALUE"""),"-")</f>
        <v>-</v>
      </c>
      <c r="U40" s="2">
        <f ca="1">IFERROR(__xludf.DUMMYFUNCTION("""COMPUTED_VALUE"""),28)</f>
        <v>28</v>
      </c>
      <c r="V40" s="2" t="str">
        <f ca="1">IFERROR(__xludf.DUMMYFUNCTION("""COMPUTED_VALUE"""),"4000, 4060, 4320, 2640, 4140, 4330")</f>
        <v>4000, 4060, 4320, 2640, 4140, 4330</v>
      </c>
      <c r="W40" s="2">
        <f ca="1">IFERROR(__xludf.DUMMYFUNCTION("""COMPUTED_VALUE"""),46)</f>
        <v>46</v>
      </c>
      <c r="X40" s="2" t="str">
        <f ca="1">IFERROR(__xludf.DUMMYFUNCTION("""COMPUTED_VALUE"""),"4130, 4060, 4621, 4330, 4070, 4000, 4320")</f>
        <v>4130, 4060, 4621, 4330, 4070, 4000, 4320</v>
      </c>
      <c r="Y40" s="2" t="str">
        <f ca="1">IFERROR(__xludf.DUMMYFUNCTION("""COMPUTED_VALUE"""),"ja")</f>
        <v>ja</v>
      </c>
      <c r="Z40" s="2" t="str">
        <f ca="1">IFERROR(__xludf.DUMMYFUNCTION("""COMPUTED_VALUE"""),"se jyllinge")</f>
        <v>se jyllinge</v>
      </c>
      <c r="AA40" s="2"/>
      <c r="AB40" s="2" t="str">
        <f ca="1">IFERROR(__xludf.DUMMYFUNCTION("""COMPUTED_VALUE"""),"x")</f>
        <v>x</v>
      </c>
      <c r="AC40" s="2" t="str">
        <f ca="1">IFERROR(__xludf.DUMMYFUNCTION("""COMPUTED_VALUE"""),"x")</f>
        <v>x</v>
      </c>
    </row>
    <row r="41" spans="1:29" ht="12.45">
      <c r="A41" s="2" t="str">
        <f ca="1">IFERROR(__xludf.DUMMYFUNCTION("""COMPUTED_VALUE"""),"Christian")</f>
        <v>Christian</v>
      </c>
      <c r="B41" s="2" t="str">
        <f ca="1">IFERROR(__xludf.DUMMYFUNCTION("""COMPUTED_VALUE"""),"Nybolig Jyllinge-Stenløse - Bendsen &amp; Scheutz A/S")</f>
        <v>Nybolig Jyllinge-Stenløse - Bendsen &amp; Scheutz A/S</v>
      </c>
      <c r="C41" s="2">
        <f ca="1">IFERROR(__xludf.DUMMYFUNCTION("""COMPUTED_VALUE"""),42060992)</f>
        <v>42060992</v>
      </c>
      <c r="D41" s="2" t="str">
        <f ca="1">IFERROR(__xludf.DUMMYFUNCTION("""COMPUTED_VALUE"""),"MG-SJ: 3.499,-")</f>
        <v>MG-SJ: 3.499,-</v>
      </c>
      <c r="E41" s="2">
        <f ca="1">IFERROR(__xludf.DUMMYFUNCTION("""COMPUTED_VALUE"""),1202)</f>
        <v>1202</v>
      </c>
      <c r="F41" s="2" t="str">
        <f ca="1">IFERROR(__xludf.DUMMYFUNCTION("""COMPUTED_VALUE"""),"Allan Bendsen")</f>
        <v>Allan Bendsen</v>
      </c>
      <c r="G41" s="2" t="str">
        <f ca="1">IFERROR(__xludf.DUMMYFUNCTION("""COMPUTED_VALUE"""),"abx@nybolig.dk")</f>
        <v>abx@nybolig.dk</v>
      </c>
      <c r="H41" s="2"/>
      <c r="I41" s="2" t="str">
        <f ca="1">IFERROR(__xludf.DUMMYFUNCTION("""COMPUTED_VALUE"""),"Østre Centervej 2")</f>
        <v>Østre Centervej 2</v>
      </c>
      <c r="J41" s="2">
        <f ca="1">IFERROR(__xludf.DUMMYFUNCTION("""COMPUTED_VALUE"""),4040)</f>
        <v>4040</v>
      </c>
      <c r="K41" s="2" t="str">
        <f ca="1">IFERROR(__xludf.DUMMYFUNCTION("""COMPUTED_VALUE"""),"Jyllinge")</f>
        <v>Jyllinge</v>
      </c>
      <c r="L41" s="2" t="str">
        <f ca="1">IFERROR(__xludf.DUMMYFUNCTION("""COMPUTED_VALUE"""),"Roskilde")</f>
        <v>Roskilde</v>
      </c>
      <c r="M41" s="2" t="str">
        <f ca="1">IFERROR(__xludf.DUMMYFUNCTION("""COMPUTED_VALUE"""),"Østsjælland")</f>
        <v>Østsjælland</v>
      </c>
      <c r="N41" s="2" t="str">
        <f ca="1">IFERROR(__xludf.DUMMYFUNCTION("""COMPUTED_VALUE"""),"Sjælland")</f>
        <v>Sjælland</v>
      </c>
      <c r="O41" s="2" t="str">
        <f ca="1">IFERROR(__xludf.DUMMYFUNCTION("""COMPUTED_VALUE"""),"4678 8088")</f>
        <v>4678 8088</v>
      </c>
      <c r="P41" s="2" t="str">
        <f ca="1">IFERROR(__xludf.DUMMYFUNCTION("""COMPUTED_VALUE"""),"4040@nybolig.dk")</f>
        <v>4040@nybolig.dk</v>
      </c>
      <c r="Q41" s="27" t="str">
        <f ca="1">IFERROR(__xludf.DUMMYFUNCTION("""COMPUTED_VALUE"""),"https://www.boliga.dk/maegler/701")</f>
        <v>https://www.boliga.dk/maegler/701</v>
      </c>
      <c r="R41" s="2" t="str">
        <f ca="1">IFERROR(__xludf.DUMMYFUNCTION("""COMPUTED_VALUE"""),"-")</f>
        <v>-</v>
      </c>
      <c r="S41" s="2" t="str">
        <f ca="1">IFERROR(__xludf.DUMMYFUNCTION("""COMPUTED_VALUE"""),"-")</f>
        <v>-</v>
      </c>
      <c r="T41" s="2" t="str">
        <f ca="1">IFERROR(__xludf.DUMMYFUNCTION("""COMPUTED_VALUE"""),"-")</f>
        <v>-</v>
      </c>
      <c r="U41" s="2">
        <f ca="1">IFERROR(__xludf.DUMMYFUNCTION("""COMPUTED_VALUE"""),21)</f>
        <v>21</v>
      </c>
      <c r="V41" s="2" t="str">
        <f ca="1">IFERROR(__xludf.DUMMYFUNCTION("""COMPUTED_VALUE"""),"4040, 4000")</f>
        <v>4040, 4000</v>
      </c>
      <c r="W41" s="2">
        <f ca="1">IFERROR(__xludf.DUMMYFUNCTION("""COMPUTED_VALUE"""),10)</f>
        <v>10</v>
      </c>
      <c r="X41" s="2" t="str">
        <f ca="1">IFERROR(__xludf.DUMMYFUNCTION("""COMPUTED_VALUE"""),"4040, 4000")</f>
        <v>4040, 4000</v>
      </c>
      <c r="Y41" s="2" t="str">
        <f ca="1">IFERROR(__xludf.DUMMYFUNCTION("""COMPUTED_VALUE"""),"ja")</f>
        <v>ja</v>
      </c>
      <c r="Z41" s="2" t="str">
        <f ca="1">IFERROR(__xludf.DUMMYFUNCTION("""COMPUTED_VALUE"""),"Allan syntes det er godt, skal lige snakke med partner - har også Jyllinge og Roskilde")</f>
        <v>Allan syntes det er godt, skal lige snakke med partner - har også Jyllinge og Roskilde</v>
      </c>
      <c r="AA41" s="2"/>
      <c r="AB41" s="2" t="str">
        <f ca="1">IFERROR(__xludf.DUMMYFUNCTION("""COMPUTED_VALUE"""),"x")</f>
        <v>x</v>
      </c>
      <c r="AC41" s="2" t="str">
        <f ca="1">IFERROR(__xludf.DUMMYFUNCTION("""COMPUTED_VALUE"""),"x")</f>
        <v>x</v>
      </c>
    </row>
    <row r="42" spans="1:29" ht="12.45">
      <c r="A42" s="2" t="str">
        <f ca="1">IFERROR(__xludf.DUMMYFUNCTION("""COMPUTED_VALUE"""),"Christian")</f>
        <v>Christian</v>
      </c>
      <c r="B42" s="2" t="str">
        <f ca="1">IFERROR(__xludf.DUMMYFUNCTION("""COMPUTED_VALUE"""),"Nybolig Sorø")</f>
        <v>Nybolig Sorø</v>
      </c>
      <c r="C42" s="2">
        <f ca="1">IFERROR(__xludf.DUMMYFUNCTION("""COMPUTED_VALUE"""),33913303)</f>
        <v>33913303</v>
      </c>
      <c r="D42" s="2" t="str">
        <f ca="1">IFERROR(__xludf.DUMMYFUNCTION("""COMPUTED_VALUE"""),"MG-SJ: 3.499,-")</f>
        <v>MG-SJ: 3.499,-</v>
      </c>
      <c r="E42" s="2">
        <f ca="1">IFERROR(__xludf.DUMMYFUNCTION("""COMPUTED_VALUE"""),1202)</f>
        <v>1202</v>
      </c>
      <c r="F42" s="2" t="str">
        <f ca="1">IFERROR(__xludf.DUMMYFUNCTION("""COMPUTED_VALUE"""),"Brian Rud Sørensen")</f>
        <v>Brian Rud Sørensen</v>
      </c>
      <c r="G42" s="2" t="str">
        <f ca="1">IFERROR(__xludf.DUMMYFUNCTION("""COMPUTED_VALUE"""),"bru@nybolig.dk")</f>
        <v>bru@nybolig.dk</v>
      </c>
      <c r="H42" s="2" t="str">
        <f ca="1">IFERROR(__xludf.DUMMYFUNCTION("""COMPUTED_VALUE"""),"2448 3225")</f>
        <v>2448 3225</v>
      </c>
      <c r="I42" s="2" t="str">
        <f ca="1">IFERROR(__xludf.DUMMYFUNCTION("""COMPUTED_VALUE"""),"Storgade 19 B")</f>
        <v>Storgade 19 B</v>
      </c>
      <c r="J42" s="2">
        <f ca="1">IFERROR(__xludf.DUMMYFUNCTION("""COMPUTED_VALUE"""),4180)</f>
        <v>4180</v>
      </c>
      <c r="K42" s="2" t="str">
        <f ca="1">IFERROR(__xludf.DUMMYFUNCTION("""COMPUTED_VALUE"""),"Sorø")</f>
        <v>Sorø</v>
      </c>
      <c r="L42" s="2" t="str">
        <f ca="1">IFERROR(__xludf.DUMMYFUNCTION("""COMPUTED_VALUE"""),"Sorø")</f>
        <v>Sorø</v>
      </c>
      <c r="M42" s="2" t="str">
        <f ca="1">IFERROR(__xludf.DUMMYFUNCTION("""COMPUTED_VALUE"""),"Vest- og Sydsjælland")</f>
        <v>Vest- og Sydsjælland</v>
      </c>
      <c r="N42" s="2" t="str">
        <f ca="1">IFERROR(__xludf.DUMMYFUNCTION("""COMPUTED_VALUE"""),"Sjælland")</f>
        <v>Sjælland</v>
      </c>
      <c r="O42" s="2" t="str">
        <f ca="1">IFERROR(__xludf.DUMMYFUNCTION("""COMPUTED_VALUE"""),"5782 1919")</f>
        <v>5782 1919</v>
      </c>
      <c r="P42" s="2" t="str">
        <f ca="1">IFERROR(__xludf.DUMMYFUNCTION("""COMPUTED_VALUE"""),"4180@nybolig.dk")</f>
        <v>4180@nybolig.dk</v>
      </c>
      <c r="Q42" s="27" t="str">
        <f ca="1">IFERROR(__xludf.DUMMYFUNCTION("""COMPUTED_VALUE"""),"https://www.boliga.dk/maegler/570")</f>
        <v>https://www.boliga.dk/maegler/570</v>
      </c>
      <c r="R42" s="2" t="str">
        <f ca="1">IFERROR(__xludf.DUMMYFUNCTION("""COMPUTED_VALUE"""),"-")</f>
        <v>-</v>
      </c>
      <c r="S42" s="2" t="str">
        <f ca="1">IFERROR(__xludf.DUMMYFUNCTION("""COMPUTED_VALUE"""),"-")</f>
        <v>-</v>
      </c>
      <c r="T42" s="2" t="str">
        <f ca="1">IFERROR(__xludf.DUMMYFUNCTION("""COMPUTED_VALUE"""),"-")</f>
        <v>-</v>
      </c>
      <c r="U42" s="2">
        <f ca="1">IFERROR(__xludf.DUMMYFUNCTION("""COMPUTED_VALUE"""),25)</f>
        <v>25</v>
      </c>
      <c r="V42" s="2" t="str">
        <f ca="1">IFERROR(__xludf.DUMMYFUNCTION("""COMPUTED_VALUE"""),"4171, 4180, 4173, 4190, 4200, 4293")</f>
        <v>4171, 4180, 4173, 4190, 4200, 4293</v>
      </c>
      <c r="W42" s="2">
        <f ca="1">IFERROR(__xludf.DUMMYFUNCTION("""COMPUTED_VALUE"""),31)</f>
        <v>31</v>
      </c>
      <c r="X42" s="2" t="str">
        <f ca="1">IFERROR(__xludf.DUMMYFUNCTION("""COMPUTED_VALUE"""),"4281, 4173, 4171, 4180, 4190, 4200, 4293, 4296")</f>
        <v>4281, 4173, 4171, 4180, 4190, 4200, 4293, 4296</v>
      </c>
      <c r="Y42" s="2" t="str">
        <f ca="1">IFERROR(__xludf.DUMMYFUNCTION("""COMPUTED_VALUE"""),"ja")</f>
        <v>ja</v>
      </c>
      <c r="Z42" s="2" t="str">
        <f ca="1">IFERROR(__xludf.DUMMYFUNCTION("""COMPUTED_VALUE"""),"Brian er int, skal lige se betingelserne igennem - gensendt mail 8/8")</f>
        <v>Brian er int, skal lige se betingelserne igennem - gensendt mail 8/8</v>
      </c>
      <c r="AA42" s="2"/>
      <c r="AB42" s="2" t="str">
        <f ca="1">IFERROR(__xludf.DUMMYFUNCTION("""COMPUTED_VALUE"""),"x")</f>
        <v>x</v>
      </c>
      <c r="AC42" s="2" t="str">
        <f ca="1">IFERROR(__xludf.DUMMYFUNCTION("""COMPUTED_VALUE"""),"x")</f>
        <v>x</v>
      </c>
    </row>
    <row r="43" spans="1:29" ht="12.45">
      <c r="A43" s="2" t="str">
        <f ca="1">IFERROR(__xludf.DUMMYFUNCTION("""COMPUTED_VALUE"""),"Christian")</f>
        <v>Christian</v>
      </c>
      <c r="B43" s="2" t="str">
        <f ca="1">IFERROR(__xludf.DUMMYFUNCTION("""COMPUTED_VALUE"""),"Nybolig Køge")</f>
        <v>Nybolig Køge</v>
      </c>
      <c r="C43" s="2">
        <f ca="1">IFERROR(__xludf.DUMMYFUNCTION("""COMPUTED_VALUE"""),38819593)</f>
        <v>38819593</v>
      </c>
      <c r="D43" s="2" t="str">
        <f ca="1">IFERROR(__xludf.DUMMYFUNCTION("""COMPUTED_VALUE"""),"MG-SJ: 3.499,-")</f>
        <v>MG-SJ: 3.499,-</v>
      </c>
      <c r="E43" s="2">
        <f ca="1">IFERROR(__xludf.DUMMYFUNCTION("""COMPUTED_VALUE"""),1202)</f>
        <v>1202</v>
      </c>
      <c r="F43" s="2" t="str">
        <f ca="1">IFERROR(__xludf.DUMMYFUNCTION("""COMPUTED_VALUE"""),"Jesper Perrson")</f>
        <v>Jesper Perrson</v>
      </c>
      <c r="G43" s="2" t="str">
        <f ca="1">IFERROR(__xludf.DUMMYFUNCTION("""COMPUTED_VALUE"""),"4115 1155")</f>
        <v>4115 1155</v>
      </c>
      <c r="H43" s="2"/>
      <c r="I43" s="2" t="str">
        <f ca="1">IFERROR(__xludf.DUMMYFUNCTION("""COMPUTED_VALUE"""),"Kong Hans Gaard, Torvet 21")</f>
        <v>Kong Hans Gaard, Torvet 21</v>
      </c>
      <c r="J43" s="2">
        <f ca="1">IFERROR(__xludf.DUMMYFUNCTION("""COMPUTED_VALUE"""),4600)</f>
        <v>4600</v>
      </c>
      <c r="K43" s="2" t="str">
        <f ca="1">IFERROR(__xludf.DUMMYFUNCTION("""COMPUTED_VALUE"""),"Køge")</f>
        <v>Køge</v>
      </c>
      <c r="L43" s="2" t="str">
        <f ca="1">IFERROR(__xludf.DUMMYFUNCTION("""COMPUTED_VALUE"""),"Køge")</f>
        <v>Køge</v>
      </c>
      <c r="M43" s="2" t="str">
        <f ca="1">IFERROR(__xludf.DUMMYFUNCTION("""COMPUTED_VALUE"""),"Østsjælland")</f>
        <v>Østsjælland</v>
      </c>
      <c r="N43" s="2" t="str">
        <f ca="1">IFERROR(__xludf.DUMMYFUNCTION("""COMPUTED_VALUE"""),"Sjælland")</f>
        <v>Sjælland</v>
      </c>
      <c r="O43" s="2" t="str">
        <f ca="1">IFERROR(__xludf.DUMMYFUNCTION("""COMPUTED_VALUE"""),"5663 4480")</f>
        <v>5663 4480</v>
      </c>
      <c r="P43" s="2" t="str">
        <f ca="1">IFERROR(__xludf.DUMMYFUNCTION("""COMPUTED_VALUE"""),"4600@nybolig.dk")</f>
        <v>4600@nybolig.dk</v>
      </c>
      <c r="Q43" s="27" t="str">
        <f ca="1">IFERROR(__xludf.DUMMYFUNCTION("""COMPUTED_VALUE"""),"https://www.boliga.dk/maegler/894")</f>
        <v>https://www.boliga.dk/maegler/894</v>
      </c>
      <c r="R43" s="2" t="str">
        <f ca="1">IFERROR(__xludf.DUMMYFUNCTION("""COMPUTED_VALUE"""),"-")</f>
        <v>-</v>
      </c>
      <c r="S43" s="2" t="str">
        <f ca="1">IFERROR(__xludf.DUMMYFUNCTION("""COMPUTED_VALUE"""),"-")</f>
        <v>-</v>
      </c>
      <c r="T43" s="2" t="str">
        <f ca="1">IFERROR(__xludf.DUMMYFUNCTION("""COMPUTED_VALUE"""),"-")</f>
        <v>-</v>
      </c>
      <c r="U43" s="2">
        <f ca="1">IFERROR(__xludf.DUMMYFUNCTION("""COMPUTED_VALUE"""),41)</f>
        <v>41</v>
      </c>
      <c r="V43" s="2" t="str">
        <f ca="1">IFERROR(__xludf.DUMMYFUNCTION("""COMPUTED_VALUE"""),"4652, 4632, 4600, 4623, 4690, 4671, 4100, 4672, 4681")</f>
        <v>4652, 4632, 4600, 4623, 4690, 4671, 4100, 4672, 4681</v>
      </c>
      <c r="W43" s="2">
        <f ca="1">IFERROR(__xludf.DUMMYFUNCTION("""COMPUTED_VALUE"""),36)</f>
        <v>36</v>
      </c>
      <c r="X43" s="2" t="str">
        <f ca="1">IFERROR(__xludf.DUMMYFUNCTION("""COMPUTED_VALUE"""),"4652, 4140, 4600, 4671, 4100, 4660, 4681, 4682, 4653")</f>
        <v>4652, 4140, 4600, 4671, 4100, 4660, 4681, 4682, 4653</v>
      </c>
      <c r="Y43" s="2" t="str">
        <f ca="1">IFERROR(__xludf.DUMMYFUNCTION("""COMPUTED_VALUE"""),"ja")</f>
        <v>ja</v>
      </c>
      <c r="Z43" s="2" t="str">
        <f ca="1">IFERROR(__xludf.DUMMYFUNCTION("""COMPUTED_VALUE"""),"jesper er klart int. skal lige se på kontrakten men er positiv")</f>
        <v>jesper er klart int. skal lige se på kontrakten men er positiv</v>
      </c>
      <c r="AA43" s="2"/>
      <c r="AB43" s="2" t="str">
        <f ca="1">IFERROR(__xludf.DUMMYFUNCTION("""COMPUTED_VALUE"""),"x")</f>
        <v>x</v>
      </c>
      <c r="AC43" s="2" t="str">
        <f ca="1">IFERROR(__xludf.DUMMYFUNCTION("""COMPUTED_VALUE"""),"x")</f>
        <v>x</v>
      </c>
    </row>
    <row r="44" spans="1:29" ht="12.45">
      <c r="A44" s="2" t="str">
        <f ca="1">IFERROR(__xludf.DUMMYFUNCTION("""COMPUTED_VALUE"""),"Christian")</f>
        <v>Christian</v>
      </c>
      <c r="B44" s="2" t="str">
        <f ca="1">IFERROR(__xludf.DUMMYFUNCTION("""COMPUTED_VALUE"""),"Nybolig Faaborg A/S")</f>
        <v>Nybolig Faaborg A/S</v>
      </c>
      <c r="C44" s="2"/>
      <c r="D44" s="2" t="str">
        <f ca="1">IFERROR(__xludf.DUMMYFUNCTION("""COMPUTED_VALUE"""),"MG-JY: 2.499,-")</f>
        <v>MG-JY: 2.499,-</v>
      </c>
      <c r="E44" s="2">
        <f ca="1">IFERROR(__xludf.DUMMYFUNCTION("""COMPUTED_VALUE"""),1201)</f>
        <v>1201</v>
      </c>
      <c r="F44" s="2"/>
      <c r="G44" s="2"/>
      <c r="H44" s="2"/>
      <c r="I44" s="2" t="str">
        <f ca="1">IFERROR(__xludf.DUMMYFUNCTION("""COMPUTED_VALUE"""),"Havnegade 19 A")</f>
        <v>Havnegade 19 A</v>
      </c>
      <c r="J44" s="2">
        <f ca="1">IFERROR(__xludf.DUMMYFUNCTION("""COMPUTED_VALUE"""),5600)</f>
        <v>5600</v>
      </c>
      <c r="K44" s="2" t="str">
        <f ca="1">IFERROR(__xludf.DUMMYFUNCTION("""COMPUTED_VALUE"""),"Faaborg")</f>
        <v>Faaborg</v>
      </c>
      <c r="L44" s="2" t="str">
        <f ca="1">IFERROR(__xludf.DUMMYFUNCTION("""COMPUTED_VALUE"""),"Faaborg-Midtfyn")</f>
        <v>Faaborg-Midtfyn</v>
      </c>
      <c r="M44" s="2" t="str">
        <f ca="1">IFERROR(__xludf.DUMMYFUNCTION("""COMPUTED_VALUE"""),"Fyn")</f>
        <v>Fyn</v>
      </c>
      <c r="N44" s="2" t="str">
        <f ca="1">IFERROR(__xludf.DUMMYFUNCTION("""COMPUTED_VALUE"""),"Syddanmark")</f>
        <v>Syddanmark</v>
      </c>
      <c r="O44" s="2" t="str">
        <f ca="1">IFERROR(__xludf.DUMMYFUNCTION("""COMPUTED_VALUE"""),"6261 1616")</f>
        <v>6261 1616</v>
      </c>
      <c r="P44" s="2" t="str">
        <f ca="1">IFERROR(__xludf.DUMMYFUNCTION("""COMPUTED_VALUE"""),"5600@nybolig.dk")</f>
        <v>5600@nybolig.dk</v>
      </c>
      <c r="Q44" s="27" t="str">
        <f ca="1">IFERROR(__xludf.DUMMYFUNCTION("""COMPUTED_VALUE"""),"https://www.boliga.dk/maegler/108")</f>
        <v>https://www.boliga.dk/maegler/108</v>
      </c>
      <c r="R44" s="2" t="str">
        <f ca="1">IFERROR(__xludf.DUMMYFUNCTION("""COMPUTED_VALUE"""),"-")</f>
        <v>-</v>
      </c>
      <c r="S44" s="2" t="str">
        <f ca="1">IFERROR(__xludf.DUMMYFUNCTION("""COMPUTED_VALUE"""),"-")</f>
        <v>-</v>
      </c>
      <c r="T44" s="2" t="str">
        <f ca="1">IFERROR(__xludf.DUMMYFUNCTION("""COMPUTED_VALUE"""),"-")</f>
        <v>-</v>
      </c>
      <c r="U44" s="2">
        <f ca="1">IFERROR(__xludf.DUMMYFUNCTION("""COMPUTED_VALUE"""),53)</f>
        <v>53</v>
      </c>
      <c r="V44" s="2" t="str">
        <f ca="1">IFERROR(__xludf.DUMMYFUNCTION("""COMPUTED_VALUE"""),"5600, 5672, 5642, 5854")</f>
        <v>5600, 5672, 5642, 5854</v>
      </c>
      <c r="W44" s="2">
        <f ca="1">IFERROR(__xludf.DUMMYFUNCTION("""COMPUTED_VALUE"""),39)</f>
        <v>39</v>
      </c>
      <c r="X44" s="2" t="str">
        <f ca="1">IFERROR(__xludf.DUMMYFUNCTION("""COMPUTED_VALUE"""),"5672, 5600, 5642, 5750")</f>
        <v>5672, 5600, 5642, 5750</v>
      </c>
      <c r="Y44" s="2" t="str">
        <f ca="1">IFERROR(__xludf.DUMMYFUNCTION("""COMPUTED_VALUE"""),"ja")</f>
        <v>ja</v>
      </c>
      <c r="Z44" s="2" t="str">
        <f ca="1">IFERROR(__xludf.DUMMYFUNCTION("""COMPUTED_VALUE"""),"Martin er klar, skal lige vende den med sine partere - de har også Assens og Langeland")</f>
        <v>Martin er klar, skal lige vende den med sine partere - de har også Assens og Langeland</v>
      </c>
      <c r="AA44" s="2"/>
      <c r="AB44" s="2" t="str">
        <f ca="1">IFERROR(__xludf.DUMMYFUNCTION("""COMPUTED_VALUE"""),"x")</f>
        <v>x</v>
      </c>
      <c r="AC44" s="2"/>
    </row>
    <row r="45" spans="1:29" ht="12.45">
      <c r="A45" s="2" t="str">
        <f ca="1">IFERROR(__xludf.DUMMYFUNCTION("""COMPUTED_VALUE"""),"Christian")</f>
        <v>Christian</v>
      </c>
      <c r="B45" s="2" t="str">
        <f ca="1">IFERROR(__xludf.DUMMYFUNCTION("""COMPUTED_VALUE"""),"Nybolig Assens")</f>
        <v>Nybolig Assens</v>
      </c>
      <c r="C45" s="2"/>
      <c r="D45" s="2" t="str">
        <f ca="1">IFERROR(__xludf.DUMMYFUNCTION("""COMPUTED_VALUE"""),"MG-JY: 2.499,-")</f>
        <v>MG-JY: 2.499,-</v>
      </c>
      <c r="E45" s="2">
        <f ca="1">IFERROR(__xludf.DUMMYFUNCTION("""COMPUTED_VALUE"""),1201)</f>
        <v>1201</v>
      </c>
      <c r="F45" s="2"/>
      <c r="G45" s="2"/>
      <c r="H45" s="2"/>
      <c r="I45" s="2" t="str">
        <f ca="1">IFERROR(__xludf.DUMMYFUNCTION("""COMPUTED_VALUE"""),"Østergade 29")</f>
        <v>Østergade 29</v>
      </c>
      <c r="J45" s="2">
        <f ca="1">IFERROR(__xludf.DUMMYFUNCTION("""COMPUTED_VALUE"""),5610)</f>
        <v>5610</v>
      </c>
      <c r="K45" s="2" t="str">
        <f ca="1">IFERROR(__xludf.DUMMYFUNCTION("""COMPUTED_VALUE"""),"Assens")</f>
        <v>Assens</v>
      </c>
      <c r="L45" s="2" t="str">
        <f ca="1">IFERROR(__xludf.DUMMYFUNCTION("""COMPUTED_VALUE"""),"Assens")</f>
        <v>Assens</v>
      </c>
      <c r="M45" s="2" t="str">
        <f ca="1">IFERROR(__xludf.DUMMYFUNCTION("""COMPUTED_VALUE"""),"Fyn")</f>
        <v>Fyn</v>
      </c>
      <c r="N45" s="2" t="str">
        <f ca="1">IFERROR(__xludf.DUMMYFUNCTION("""COMPUTED_VALUE"""),"Syddanmark")</f>
        <v>Syddanmark</v>
      </c>
      <c r="O45" s="2" t="str">
        <f ca="1">IFERROR(__xludf.DUMMYFUNCTION("""COMPUTED_VALUE"""),"6471 4300")</f>
        <v>6471 4300</v>
      </c>
      <c r="P45" s="2" t="str">
        <f ca="1">IFERROR(__xludf.DUMMYFUNCTION("""COMPUTED_VALUE"""),"5610@nybolig.dk")</f>
        <v>5610@nybolig.dk</v>
      </c>
      <c r="Q45" s="27" t="str">
        <f ca="1">IFERROR(__xludf.DUMMYFUNCTION("""COMPUTED_VALUE"""),"https://www.boliga.dk/maegler/965")</f>
        <v>https://www.boliga.dk/maegler/965</v>
      </c>
      <c r="R45" s="2" t="str">
        <f ca="1">IFERROR(__xludf.DUMMYFUNCTION("""COMPUTED_VALUE"""),"-")</f>
        <v>-</v>
      </c>
      <c r="S45" s="2" t="str">
        <f ca="1">IFERROR(__xludf.DUMMYFUNCTION("""COMPUTED_VALUE"""),"-")</f>
        <v>-</v>
      </c>
      <c r="T45" s="2" t="str">
        <f ca="1">IFERROR(__xludf.DUMMYFUNCTION("""COMPUTED_VALUE"""),"-")</f>
        <v>-</v>
      </c>
      <c r="U45" s="2">
        <f ca="1">IFERROR(__xludf.DUMMYFUNCTION("""COMPUTED_VALUE"""),72)</f>
        <v>72</v>
      </c>
      <c r="V45" s="2" t="str">
        <f ca="1">IFERROR(__xludf.DUMMYFUNCTION("""COMPUTED_VALUE"""),"5610, 5591, 5683, 5620, 5492, 5560, 5631, 5690")</f>
        <v>5610, 5591, 5683, 5620, 5492, 5560, 5631, 5690</v>
      </c>
      <c r="W45" s="2">
        <f ca="1">IFERROR(__xludf.DUMMYFUNCTION("""COMPUTED_VALUE"""),41)</f>
        <v>41</v>
      </c>
      <c r="X45" s="2" t="str">
        <f ca="1">IFERROR(__xludf.DUMMYFUNCTION("""COMPUTED_VALUE"""),"5610, 5620, 5683, 5560, 5631, 5690")</f>
        <v>5610, 5620, 5683, 5560, 5631, 5690</v>
      </c>
      <c r="Y45" s="2" t="str">
        <f ca="1">IFERROR(__xludf.DUMMYFUNCTION("""COMPUTED_VALUE"""),"ja")</f>
        <v>ja</v>
      </c>
      <c r="Z45" s="2" t="str">
        <f ca="1">IFERROR(__xludf.DUMMYFUNCTION("""COMPUTED_VALUE"""),"se Fåborg")</f>
        <v>se Fåborg</v>
      </c>
      <c r="AA45" s="2"/>
      <c r="AB45" s="2" t="str">
        <f ca="1">IFERROR(__xludf.DUMMYFUNCTION("""COMPUTED_VALUE"""),"x")</f>
        <v>x</v>
      </c>
      <c r="AC45" s="2"/>
    </row>
    <row r="46" spans="1:29" ht="12.45">
      <c r="A46" s="2" t="str">
        <f ca="1">IFERROR(__xludf.DUMMYFUNCTION("""COMPUTED_VALUE"""),"Christian")</f>
        <v>Christian</v>
      </c>
      <c r="B46" s="2" t="str">
        <f ca="1">IFERROR(__xludf.DUMMYFUNCTION("""COMPUTED_VALUE"""),"Nybolig Langeland A/S")</f>
        <v>Nybolig Langeland A/S</v>
      </c>
      <c r="C46" s="2"/>
      <c r="D46" s="2" t="str">
        <f ca="1">IFERROR(__xludf.DUMMYFUNCTION("""COMPUTED_VALUE"""),"MG-JY: 2.499,-")</f>
        <v>MG-JY: 2.499,-</v>
      </c>
      <c r="E46" s="2">
        <f ca="1">IFERROR(__xludf.DUMMYFUNCTION("""COMPUTED_VALUE"""),1201)</f>
        <v>1201</v>
      </c>
      <c r="F46" s="2"/>
      <c r="G46" s="2"/>
      <c r="H46" s="2"/>
      <c r="I46" s="2" t="str">
        <f ca="1">IFERROR(__xludf.DUMMYFUNCTION("""COMPUTED_VALUE"""),"Østergade 33")</f>
        <v>Østergade 33</v>
      </c>
      <c r="J46" s="2">
        <f ca="1">IFERROR(__xludf.DUMMYFUNCTION("""COMPUTED_VALUE"""),5900)</f>
        <v>5900</v>
      </c>
      <c r="K46" s="2" t="str">
        <f ca="1">IFERROR(__xludf.DUMMYFUNCTION("""COMPUTED_VALUE"""),"Rudkøbing")</f>
        <v>Rudkøbing</v>
      </c>
      <c r="L46" s="2" t="str">
        <f ca="1">IFERROR(__xludf.DUMMYFUNCTION("""COMPUTED_VALUE"""),"Langeland")</f>
        <v>Langeland</v>
      </c>
      <c r="M46" s="2" t="str">
        <f ca="1">IFERROR(__xludf.DUMMYFUNCTION("""COMPUTED_VALUE"""),"Fyn")</f>
        <v>Fyn</v>
      </c>
      <c r="N46" s="2" t="str">
        <f ca="1">IFERROR(__xludf.DUMMYFUNCTION("""COMPUTED_VALUE"""),"Syddanmark")</f>
        <v>Syddanmark</v>
      </c>
      <c r="O46" s="2" t="str">
        <f ca="1">IFERROR(__xludf.DUMMYFUNCTION("""COMPUTED_VALUE"""),"6251 3710")</f>
        <v>6251 3710</v>
      </c>
      <c r="P46" s="2" t="str">
        <f ca="1">IFERROR(__xludf.DUMMYFUNCTION("""COMPUTED_VALUE"""),"5900@nybolig.dk")</f>
        <v>5900@nybolig.dk</v>
      </c>
      <c r="Q46" s="27" t="str">
        <f ca="1">IFERROR(__xludf.DUMMYFUNCTION("""COMPUTED_VALUE"""),"https://www.boliga.dk/maegler/17486")</f>
        <v>https://www.boliga.dk/maegler/17486</v>
      </c>
      <c r="R46" s="2" t="str">
        <f ca="1">IFERROR(__xludf.DUMMYFUNCTION("""COMPUTED_VALUE"""),"-")</f>
        <v>-</v>
      </c>
      <c r="S46" s="2" t="str">
        <f ca="1">IFERROR(__xludf.DUMMYFUNCTION("""COMPUTED_VALUE"""),"-")</f>
        <v>-</v>
      </c>
      <c r="T46" s="2" t="str">
        <f ca="1">IFERROR(__xludf.DUMMYFUNCTION("""COMPUTED_VALUE"""),"-")</f>
        <v>-</v>
      </c>
      <c r="U46" s="2">
        <f ca="1">IFERROR(__xludf.DUMMYFUNCTION("""COMPUTED_VALUE"""),59)</f>
        <v>59</v>
      </c>
      <c r="V46" s="2" t="str">
        <f ca="1">IFERROR(__xludf.DUMMYFUNCTION("""COMPUTED_VALUE"""),"5953, 5932, 5900, 5935")</f>
        <v>5953, 5932, 5900, 5935</v>
      </c>
      <c r="W46" s="2">
        <f ca="1">IFERROR(__xludf.DUMMYFUNCTION("""COMPUTED_VALUE"""),48)</f>
        <v>48</v>
      </c>
      <c r="X46" s="2" t="str">
        <f ca="1">IFERROR(__xludf.DUMMYFUNCTION("""COMPUTED_VALUE"""),"5953, 5932, 5900")</f>
        <v>5953, 5932, 5900</v>
      </c>
      <c r="Y46" s="2" t="str">
        <f ca="1">IFERROR(__xludf.DUMMYFUNCTION("""COMPUTED_VALUE"""),"ja")</f>
        <v>ja</v>
      </c>
      <c r="Z46" s="2" t="str">
        <f ca="1">IFERROR(__xludf.DUMMYFUNCTION("""COMPUTED_VALUE"""),"se fåborg")</f>
        <v>se fåborg</v>
      </c>
      <c r="AA46" s="2"/>
      <c r="AB46" s="2" t="str">
        <f ca="1">IFERROR(__xludf.DUMMYFUNCTION("""COMPUTED_VALUE"""),"x")</f>
        <v>x</v>
      </c>
      <c r="AC46" s="2"/>
    </row>
    <row r="47" spans="1:29" ht="12.45">
      <c r="A47" s="2" t="str">
        <f ca="1">IFERROR(__xludf.DUMMYFUNCTION("""COMPUTED_VALUE"""),"Christian")</f>
        <v>Christian</v>
      </c>
      <c r="B47" s="2" t="str">
        <f ca="1">IFERROR(__xludf.DUMMYFUNCTION("""COMPUTED_VALUE"""),"Nybolig Bjørn &amp; Ankersen - Randers")</f>
        <v>Nybolig Bjørn &amp; Ankersen - Randers</v>
      </c>
      <c r="C47" s="2"/>
      <c r="D47" s="2"/>
      <c r="E47" s="2" t="str">
        <f ca="1">IFERROR(__xludf.DUMMYFUNCTION("""COMPUTED_VALUE"""),"N/A")</f>
        <v>N/A</v>
      </c>
      <c r="F47" s="2"/>
      <c r="G47" s="2"/>
      <c r="H47" s="2"/>
      <c r="I47" s="2" t="str">
        <f ca="1">IFERROR(__xludf.DUMMYFUNCTION("""COMPUTED_VALUE"""),"Østervold 47")</f>
        <v>Østervold 47</v>
      </c>
      <c r="J47" s="2">
        <f ca="1">IFERROR(__xludf.DUMMYFUNCTION("""COMPUTED_VALUE"""),8900)</f>
        <v>8900</v>
      </c>
      <c r="K47" s="2" t="str">
        <f ca="1">IFERROR(__xludf.DUMMYFUNCTION("""COMPUTED_VALUE"""),"Randers C")</f>
        <v>Randers C</v>
      </c>
      <c r="L47" s="2" t="str">
        <f ca="1">IFERROR(__xludf.DUMMYFUNCTION("""COMPUTED_VALUE"""),"Randers")</f>
        <v>Randers</v>
      </c>
      <c r="M47" s="2" t="str">
        <f ca="1">IFERROR(__xludf.DUMMYFUNCTION("""COMPUTED_VALUE"""),"Østjylland")</f>
        <v>Østjylland</v>
      </c>
      <c r="N47" s="2" t="str">
        <f ca="1">IFERROR(__xludf.DUMMYFUNCTION("""COMPUTED_VALUE"""),"Midtjylland")</f>
        <v>Midtjylland</v>
      </c>
      <c r="O47" s="2" t="str">
        <f ca="1">IFERROR(__xludf.DUMMYFUNCTION("""COMPUTED_VALUE"""),"7022 8686")</f>
        <v>7022 8686</v>
      </c>
      <c r="P47" s="2" t="str">
        <f ca="1">IFERROR(__xludf.DUMMYFUNCTION("""COMPUTED_VALUE"""),"8901@nybolig.dk")</f>
        <v>8901@nybolig.dk</v>
      </c>
      <c r="Q47" s="27" t="str">
        <f ca="1">IFERROR(__xludf.DUMMYFUNCTION("""COMPUTED_VALUE"""),"https://www.boliga.dk/maegler/901")</f>
        <v>https://www.boliga.dk/maegler/901</v>
      </c>
      <c r="R47" s="2" t="str">
        <f ca="1">IFERROR(__xludf.DUMMYFUNCTION("""COMPUTED_VALUE"""),"-")</f>
        <v>-</v>
      </c>
      <c r="S47" s="2" t="str">
        <f ca="1">IFERROR(__xludf.DUMMYFUNCTION("""COMPUTED_VALUE"""),"-")</f>
        <v>-</v>
      </c>
      <c r="T47" s="2" t="str">
        <f ca="1">IFERROR(__xludf.DUMMYFUNCTION("""COMPUTED_VALUE"""),"-")</f>
        <v>-</v>
      </c>
      <c r="U47" s="2">
        <f ca="1">IFERROR(__xludf.DUMMYFUNCTION("""COMPUTED_VALUE"""),109)</f>
        <v>109</v>
      </c>
      <c r="V47" s="2" t="str">
        <f ca="1">IFERROR(__xludf.DUMMYFUNCTION("""COMPUTED_VALUE"""),"8960, 8983, 8970, 8920, 8990, 8900, 8870, 8940, 8930, 8981")</f>
        <v>8960, 8983, 8970, 8920, 8990, 8900, 8870, 8940, 8930, 8981</v>
      </c>
      <c r="W47" s="2">
        <f ca="1">IFERROR(__xludf.DUMMYFUNCTION("""COMPUTED_VALUE"""),76)</f>
        <v>76</v>
      </c>
      <c r="X47" s="2" t="str">
        <f ca="1">IFERROR(__xludf.DUMMYFUNCTION("""COMPUTED_VALUE"""),"8960, 8900, 8920, 8940, 8870, 8930, 8981")</f>
        <v>8960, 8900, 8920, 8940, 8870, 8930, 8981</v>
      </c>
      <c r="Y47" s="2" t="str">
        <f ca="1">IFERROR(__xludf.DUMMYFUNCTION("""COMPUTED_VALUE"""),"ja")</f>
        <v>ja</v>
      </c>
      <c r="Z47" s="2" t="str">
        <f ca="1">IFERROR(__xludf.DUMMYFUNCTION("""COMPUTED_VALUE"""),"Christian er stadig int. o PM har sendt opfrisker samt lead info")</f>
        <v>Christian er stadig int. o PM har sendt opfrisker samt lead info</v>
      </c>
      <c r="AA47" s="2"/>
      <c r="AB47" s="2" t="str">
        <f ca="1">IFERROR(__xludf.DUMMYFUNCTION("""COMPUTED_VALUE"""),"x")</f>
        <v>x</v>
      </c>
      <c r="AC47" s="2"/>
    </row>
    <row r="48" spans="1:29" ht="12.45">
      <c r="A48" s="2" t="str">
        <f ca="1">IFERROR(__xludf.DUMMYFUNCTION("""COMPUTED_VALUE"""),"Christian")</f>
        <v>Christian</v>
      </c>
      <c r="B48" s="2" t="str">
        <f ca="1">IFERROR(__xludf.DUMMYFUNCTION("""COMPUTED_VALUE"""),"Nybolig Kronjylland - Randers")</f>
        <v>Nybolig Kronjylland - Randers</v>
      </c>
      <c r="C48" s="2"/>
      <c r="D48" s="2" t="str">
        <f ca="1">IFERROR(__xludf.DUMMYFUNCTION("""COMPUTED_VALUE"""),"MG-JY: 2.499,-")</f>
        <v>MG-JY: 2.499,-</v>
      </c>
      <c r="E48" s="2">
        <f ca="1">IFERROR(__xludf.DUMMYFUNCTION("""COMPUTED_VALUE"""),1201)</f>
        <v>1201</v>
      </c>
      <c r="F48" s="2"/>
      <c r="G48" s="2"/>
      <c r="H48" s="2"/>
      <c r="I48" s="2" t="str">
        <f ca="1">IFERROR(__xludf.DUMMYFUNCTION("""COMPUTED_VALUE"""),"Udbyhøjvej 83")</f>
        <v>Udbyhøjvej 83</v>
      </c>
      <c r="J48" s="2">
        <f ca="1">IFERROR(__xludf.DUMMYFUNCTION("""COMPUTED_VALUE"""),8930)</f>
        <v>8930</v>
      </c>
      <c r="K48" s="2" t="str">
        <f ca="1">IFERROR(__xludf.DUMMYFUNCTION("""COMPUTED_VALUE"""),"Randers NØ")</f>
        <v>Randers NØ</v>
      </c>
      <c r="L48" s="2" t="str">
        <f ca="1">IFERROR(__xludf.DUMMYFUNCTION("""COMPUTED_VALUE"""),"Randers")</f>
        <v>Randers</v>
      </c>
      <c r="M48" s="2" t="str">
        <f ca="1">IFERROR(__xludf.DUMMYFUNCTION("""COMPUTED_VALUE"""),"Østjylland")</f>
        <v>Østjylland</v>
      </c>
      <c r="N48" s="2" t="str">
        <f ca="1">IFERROR(__xludf.DUMMYFUNCTION("""COMPUTED_VALUE"""),"Midtjylland")</f>
        <v>Midtjylland</v>
      </c>
      <c r="O48" s="2" t="str">
        <f ca="1">IFERROR(__xludf.DUMMYFUNCTION("""COMPUTED_VALUE"""),"8642 6266")</f>
        <v>8642 6266</v>
      </c>
      <c r="P48" s="2" t="str">
        <f ca="1">IFERROR(__xludf.DUMMYFUNCTION("""COMPUTED_VALUE"""),"8930@nybolig.dk")</f>
        <v>8930@nybolig.dk</v>
      </c>
      <c r="Q48" s="27" t="str">
        <f ca="1">IFERROR(__xludf.DUMMYFUNCTION("""COMPUTED_VALUE"""),"https://www.boliga.dk/maegler/18044")</f>
        <v>https://www.boliga.dk/maegler/18044</v>
      </c>
      <c r="R48" s="2" t="str">
        <f ca="1">IFERROR(__xludf.DUMMYFUNCTION("""COMPUTED_VALUE"""),"-")</f>
        <v>-</v>
      </c>
      <c r="S48" s="2" t="str">
        <f ca="1">IFERROR(__xludf.DUMMYFUNCTION("""COMPUTED_VALUE"""),"-")</f>
        <v>-</v>
      </c>
      <c r="T48" s="2" t="str">
        <f ca="1">IFERROR(__xludf.DUMMYFUNCTION("""COMPUTED_VALUE"""),"-")</f>
        <v>-</v>
      </c>
      <c r="U48" s="2">
        <f ca="1">IFERROR(__xludf.DUMMYFUNCTION("""COMPUTED_VALUE"""),98)</f>
        <v>98</v>
      </c>
      <c r="V48" s="2" t="str">
        <f ca="1">IFERROR(__xludf.DUMMYFUNCTION("""COMPUTED_VALUE"""),"8920, 8900, 8500, 8870, 8860, 8830, 8983, 8585, 8990, 8940, 8930, 8960, 8961, 8950, 8963, 8970, 8981")</f>
        <v>8920, 8900, 8500, 8870, 8860, 8830, 8983, 8585, 8990, 8940, 8930, 8960, 8961, 8950, 8963, 8970, 8981</v>
      </c>
      <c r="W48" s="2">
        <f ca="1">IFERROR(__xludf.DUMMYFUNCTION("""COMPUTED_VALUE"""),34)</f>
        <v>34</v>
      </c>
      <c r="X48" s="2" t="str">
        <f ca="1">IFERROR(__xludf.DUMMYFUNCTION("""COMPUTED_VALUE"""),"8560, 8960, 8860, 8530, 8920, 8882, 8983, 8930, 8990, 8970, 8900, 8981, 8940, 8950")</f>
        <v>8560, 8960, 8860, 8530, 8920, 8882, 8983, 8930, 8990, 8970, 8900, 8981, 8940, 8950</v>
      </c>
      <c r="Y48" s="2" t="str">
        <f ca="1">IFERROR(__xludf.DUMMYFUNCTION("""COMPUTED_VALUE"""),"ja")</f>
        <v>ja</v>
      </c>
      <c r="Z48" s="2" t="str">
        <f ca="1">IFERROR(__xludf.DUMMYFUNCTION("""COMPUTED_VALUE"""),"se Bjerringbro")</f>
        <v>se Bjerringbro</v>
      </c>
      <c r="AA48" s="2"/>
      <c r="AB48" s="2"/>
      <c r="AC48" s="2"/>
    </row>
    <row r="49" spans="1:29" ht="12.45">
      <c r="A49" s="2" t="str">
        <f ca="1">IFERROR(__xludf.DUMMYFUNCTION("""COMPUTED_VALUE"""),"Christian")</f>
        <v>Christian</v>
      </c>
      <c r="B49" s="2" t="str">
        <f ca="1">IFERROR(__xludf.DUMMYFUNCTION("""COMPUTED_VALUE"""),"Nybolig Hadsund")</f>
        <v>Nybolig Hadsund</v>
      </c>
      <c r="C49" s="2"/>
      <c r="D49" s="2" t="str">
        <f ca="1">IFERROR(__xludf.DUMMYFUNCTION("""COMPUTED_VALUE"""),"MG-JY: 2.499,-")</f>
        <v>MG-JY: 2.499,-</v>
      </c>
      <c r="E49" s="2">
        <f ca="1">IFERROR(__xludf.DUMMYFUNCTION("""COMPUTED_VALUE"""),1201)</f>
        <v>1201</v>
      </c>
      <c r="F49" s="2" t="str">
        <f ca="1">IFERROR(__xludf.DUMMYFUNCTION("""COMPUTED_VALUE"""),"Rasmus Skeel")</f>
        <v>Rasmus Skeel</v>
      </c>
      <c r="G49" s="2" t="str">
        <f ca="1">IFERROR(__xludf.DUMMYFUNCTION("""COMPUTED_VALUE"""),"skl@nybolig.dk")</f>
        <v>skl@nybolig.dk</v>
      </c>
      <c r="H49" s="2"/>
      <c r="I49" s="2" t="str">
        <f ca="1">IFERROR(__xludf.DUMMYFUNCTION("""COMPUTED_VALUE"""),"Storegade 17 st.tv")</f>
        <v>Storegade 17 st.tv</v>
      </c>
      <c r="J49" s="2">
        <f ca="1">IFERROR(__xludf.DUMMYFUNCTION("""COMPUTED_VALUE"""),9560)</f>
        <v>9560</v>
      </c>
      <c r="K49" s="2" t="str">
        <f ca="1">IFERROR(__xludf.DUMMYFUNCTION("""COMPUTED_VALUE"""),"Hadsund")</f>
        <v>Hadsund</v>
      </c>
      <c r="L49" s="2" t="str">
        <f ca="1">IFERROR(__xludf.DUMMYFUNCTION("""COMPUTED_VALUE"""),"Mariagerfjord")</f>
        <v>Mariagerfjord</v>
      </c>
      <c r="M49" s="2" t="str">
        <f ca="1">IFERROR(__xludf.DUMMYFUNCTION("""COMPUTED_VALUE"""),"Nordjylland")</f>
        <v>Nordjylland</v>
      </c>
      <c r="N49" s="2" t="str">
        <f ca="1">IFERROR(__xludf.DUMMYFUNCTION("""COMPUTED_VALUE"""),"Nordjylland")</f>
        <v>Nordjylland</v>
      </c>
      <c r="O49" s="2" t="str">
        <f ca="1">IFERROR(__xludf.DUMMYFUNCTION("""COMPUTED_VALUE"""),"9857 1557")</f>
        <v>9857 1557</v>
      </c>
      <c r="P49" s="2" t="str">
        <f ca="1">IFERROR(__xludf.DUMMYFUNCTION("""COMPUTED_VALUE"""),"9560@nybolig.dk")</f>
        <v>9560@nybolig.dk</v>
      </c>
      <c r="Q49" s="27" t="str">
        <f ca="1">IFERROR(__xludf.DUMMYFUNCTION("""COMPUTED_VALUE"""),"https://www.boliga.dk/maegler/786")</f>
        <v>https://www.boliga.dk/maegler/786</v>
      </c>
      <c r="R49" s="2" t="str">
        <f ca="1">IFERROR(__xludf.DUMMYFUNCTION("""COMPUTED_VALUE"""),"-")</f>
        <v>-</v>
      </c>
      <c r="S49" s="2" t="str">
        <f ca="1">IFERROR(__xludf.DUMMYFUNCTION("""COMPUTED_VALUE"""),"-")</f>
        <v>-</v>
      </c>
      <c r="T49" s="2" t="str">
        <f ca="1">IFERROR(__xludf.DUMMYFUNCTION("""COMPUTED_VALUE"""),"-")</f>
        <v>-</v>
      </c>
      <c r="U49" s="2">
        <f ca="1">IFERROR(__xludf.DUMMYFUNCTION("""COMPUTED_VALUE"""),62)</f>
        <v>62</v>
      </c>
      <c r="V49" s="2" t="str">
        <f ca="1">IFERROR(__xludf.DUMMYFUNCTION("""COMPUTED_VALUE"""),"9280, 8970, 9550, 9500, 9560, 9574")</f>
        <v>9280, 8970, 9550, 9500, 9560, 9574</v>
      </c>
      <c r="W49" s="2">
        <f ca="1">IFERROR(__xludf.DUMMYFUNCTION("""COMPUTED_VALUE"""),27)</f>
        <v>27</v>
      </c>
      <c r="X49" s="2" t="str">
        <f ca="1">IFERROR(__xludf.DUMMYFUNCTION("""COMPUTED_VALUE"""),"9280, 8970, 9510, 9574, 9560, 9575")</f>
        <v>9280, 8970, 9510, 9574, 9560, 9575</v>
      </c>
      <c r="Y49" s="2" t="str">
        <f ca="1">IFERROR(__xludf.DUMMYFUNCTION("""COMPUTED_VALUE"""),"ja")</f>
        <v>ja</v>
      </c>
      <c r="Z49" s="2" t="str">
        <f ca="1">IFERROR(__xludf.DUMMYFUNCTION("""COMPUTED_VALUE"""),"rasmus er klar, han kan også sige ja på vegne af Øster hurup")</f>
        <v>rasmus er klar, han kan også sige ja på vegne af Øster hurup</v>
      </c>
      <c r="AA49" s="2"/>
      <c r="AB49" s="2" t="str">
        <f ca="1">IFERROR(__xludf.DUMMYFUNCTION("""COMPUTED_VALUE"""),"x")</f>
        <v>x</v>
      </c>
      <c r="AC49" s="2" t="str">
        <f ca="1">IFERROR(__xludf.DUMMYFUNCTION("""COMPUTED_VALUE"""),"x")</f>
        <v>x</v>
      </c>
    </row>
    <row r="50" spans="1:29" ht="12.45">
      <c r="A50" s="2" t="str">
        <f ca="1">IFERROR(__xludf.DUMMYFUNCTION("""COMPUTED_VALUE"""),"Christian")</f>
        <v>Christian</v>
      </c>
      <c r="B50" s="2" t="str">
        <f ca="1">IFERROR(__xludf.DUMMYFUNCTION("""COMPUTED_VALUE"""),"Nybolig Øster Hurup")</f>
        <v>Nybolig Øster Hurup</v>
      </c>
      <c r="C50" s="2"/>
      <c r="D50" s="2" t="str">
        <f ca="1">IFERROR(__xludf.DUMMYFUNCTION("""COMPUTED_VALUE"""),"MG-JY: 2.499,-")</f>
        <v>MG-JY: 2.499,-</v>
      </c>
      <c r="E50" s="2">
        <f ca="1">IFERROR(__xludf.DUMMYFUNCTION("""COMPUTED_VALUE"""),1201)</f>
        <v>1201</v>
      </c>
      <c r="F50" s="2" t="str">
        <f ca="1">IFERROR(__xludf.DUMMYFUNCTION("""COMPUTED_VALUE"""),"Rasmus Skeel")</f>
        <v>Rasmus Skeel</v>
      </c>
      <c r="G50" s="2" t="str">
        <f ca="1">IFERROR(__xludf.DUMMYFUNCTION("""COMPUTED_VALUE"""),"skl@nybolig.dk")</f>
        <v>skl@nybolig.dk</v>
      </c>
      <c r="H50" s="2"/>
      <c r="I50" s="2" t="str">
        <f ca="1">IFERROR(__xludf.DUMMYFUNCTION("""COMPUTED_VALUE"""),"Kystvejen 40B")</f>
        <v>Kystvejen 40B</v>
      </c>
      <c r="J50" s="2">
        <f ca="1">IFERROR(__xludf.DUMMYFUNCTION("""COMPUTED_VALUE"""),9560)</f>
        <v>9560</v>
      </c>
      <c r="K50" s="2" t="str">
        <f ca="1">IFERROR(__xludf.DUMMYFUNCTION("""COMPUTED_VALUE"""),"Hadsund")</f>
        <v>Hadsund</v>
      </c>
      <c r="L50" s="2"/>
      <c r="M50" s="2"/>
      <c r="N50" s="2"/>
      <c r="O50" s="2"/>
      <c r="P50" s="2"/>
      <c r="Q50" s="27" t="str">
        <f ca="1">IFERROR(__xludf.DUMMYFUNCTION("""COMPUTED_VALUE"""),"https://www.boliga.dk/maegler/29096")</f>
        <v>https://www.boliga.dk/maegler/29096</v>
      </c>
      <c r="R50" s="2"/>
      <c r="S50" s="2"/>
      <c r="T50" s="2"/>
      <c r="U50" s="2"/>
      <c r="V50" s="2"/>
      <c r="W50" s="2"/>
      <c r="X50" s="2"/>
      <c r="Y50" s="2" t="str">
        <f ca="1">IFERROR(__xludf.DUMMYFUNCTION("""COMPUTED_VALUE"""),"ja")</f>
        <v>ja</v>
      </c>
      <c r="Z50" s="2" t="str">
        <f ca="1">IFERROR(__xludf.DUMMYFUNCTION("""COMPUTED_VALUE"""),"se Hadsund")</f>
        <v>se Hadsund</v>
      </c>
      <c r="AA50" s="2"/>
      <c r="AB50" s="2" t="str">
        <f ca="1">IFERROR(__xludf.DUMMYFUNCTION("""COMPUTED_VALUE"""),"x")</f>
        <v>x</v>
      </c>
      <c r="AC50" s="2" t="str">
        <f ca="1">IFERROR(__xludf.DUMMYFUNCTION("""COMPUTED_VALUE"""),"x")</f>
        <v>x</v>
      </c>
    </row>
    <row r="51" spans="1:29" ht="12.45">
      <c r="A51" s="2" t="str">
        <f ca="1">IFERROR(__xludf.DUMMYFUNCTION("""COMPUTED_VALUE"""),"Christian")</f>
        <v>Christian</v>
      </c>
      <c r="B51" s="2" t="str">
        <f ca="1">IFERROR(__xludf.DUMMYFUNCTION("""COMPUTED_VALUE"""),"Nybolig Brønderslev")</f>
        <v>Nybolig Brønderslev</v>
      </c>
      <c r="C51" s="2"/>
      <c r="D51" s="2" t="str">
        <f ca="1">IFERROR(__xludf.DUMMYFUNCTION("""COMPUTED_VALUE"""),"MG-JY: 2.499,-")</f>
        <v>MG-JY: 2.499,-</v>
      </c>
      <c r="E51" s="2">
        <f ca="1">IFERROR(__xludf.DUMMYFUNCTION("""COMPUTED_VALUE"""),1201)</f>
        <v>1201</v>
      </c>
      <c r="F51" s="2"/>
      <c r="G51" s="2"/>
      <c r="H51" s="2"/>
      <c r="I51" s="2" t="str">
        <f ca="1">IFERROR(__xludf.DUMMYFUNCTION("""COMPUTED_VALUE"""),"Torvet 13")</f>
        <v>Torvet 13</v>
      </c>
      <c r="J51" s="2">
        <f ca="1">IFERROR(__xludf.DUMMYFUNCTION("""COMPUTED_VALUE"""),9700)</f>
        <v>9700</v>
      </c>
      <c r="K51" s="2" t="str">
        <f ca="1">IFERROR(__xludf.DUMMYFUNCTION("""COMPUTED_VALUE"""),"Brønderslev")</f>
        <v>Brønderslev</v>
      </c>
      <c r="L51" s="2" t="str">
        <f ca="1">IFERROR(__xludf.DUMMYFUNCTION("""COMPUTED_VALUE"""),"Brønderslev")</f>
        <v>Brønderslev</v>
      </c>
      <c r="M51" s="2" t="str">
        <f ca="1">IFERROR(__xludf.DUMMYFUNCTION("""COMPUTED_VALUE"""),"Nordjylland")</f>
        <v>Nordjylland</v>
      </c>
      <c r="N51" s="2" t="str">
        <f ca="1">IFERROR(__xludf.DUMMYFUNCTION("""COMPUTED_VALUE"""),"Nordjylland")</f>
        <v>Nordjylland</v>
      </c>
      <c r="O51" s="2" t="str">
        <f ca="1">IFERROR(__xludf.DUMMYFUNCTION("""COMPUTED_VALUE"""),"9880 0500")</f>
        <v>9880 0500</v>
      </c>
      <c r="P51" s="2" t="str">
        <f ca="1">IFERROR(__xludf.DUMMYFUNCTION("""COMPUTED_VALUE"""),"9700@nybolig.dk")</f>
        <v>9700@nybolig.dk</v>
      </c>
      <c r="Q51" s="27" t="str">
        <f ca="1">IFERROR(__xludf.DUMMYFUNCTION("""COMPUTED_VALUE"""),"https://www.boliga.dk/maegler/1025")</f>
        <v>https://www.boliga.dk/maegler/1025</v>
      </c>
      <c r="R51" s="2" t="str">
        <f ca="1">IFERROR(__xludf.DUMMYFUNCTION("""COMPUTED_VALUE"""),"-")</f>
        <v>-</v>
      </c>
      <c r="S51" s="2" t="str">
        <f ca="1">IFERROR(__xludf.DUMMYFUNCTION("""COMPUTED_VALUE"""),"-")</f>
        <v>-</v>
      </c>
      <c r="T51" s="2" t="str">
        <f ca="1">IFERROR(__xludf.DUMMYFUNCTION("""COMPUTED_VALUE"""),"-")</f>
        <v>-</v>
      </c>
      <c r="U51" s="2">
        <f ca="1">IFERROR(__xludf.DUMMYFUNCTION("""COMPUTED_VALUE"""),28)</f>
        <v>28</v>
      </c>
      <c r="V51" s="2" t="str">
        <f ca="1">IFERROR(__xludf.DUMMYFUNCTION("""COMPUTED_VALUE"""),"9740, 9382, 9700, 9760")</f>
        <v>9740, 9382, 9700, 9760</v>
      </c>
      <c r="W51" s="2">
        <f ca="1">IFERROR(__xludf.DUMMYFUNCTION("""COMPUTED_VALUE"""),14)</f>
        <v>14</v>
      </c>
      <c r="X51" s="2" t="str">
        <f ca="1">IFERROR(__xludf.DUMMYFUNCTION("""COMPUTED_VALUE"""),"9382, 9700")</f>
        <v>9382, 9700</v>
      </c>
      <c r="Y51" s="2" t="str">
        <f ca="1">IFERROR(__xludf.DUMMYFUNCTION("""COMPUTED_VALUE"""),"ja")</f>
        <v>ja</v>
      </c>
      <c r="Z51" s="2" t="str">
        <f ca="1">IFERROR(__xludf.DUMMYFUNCTION("""COMPUTED_VALUE"""),"peter er klar, skal lige cleares med partner")</f>
        <v>peter er klar, skal lige cleares med partner</v>
      </c>
      <c r="AA51" s="2"/>
      <c r="AB51" s="2" t="str">
        <f ca="1">IFERROR(__xludf.DUMMYFUNCTION("""COMPUTED_VALUE"""),"x")</f>
        <v>x</v>
      </c>
      <c r="AC51" s="2"/>
    </row>
    <row r="52" spans="1:29" ht="12.45">
      <c r="A52" s="2" t="str">
        <f ca="1">IFERROR(__xludf.DUMMYFUNCTION("""COMPUTED_VALUE"""),"Christian")</f>
        <v>Christian</v>
      </c>
      <c r="B52" s="2" t="str">
        <f ca="1">IFERROR(__xludf.DUMMYFUNCTION("""COMPUTED_VALUE"""),"Nybolig Hirtshals")</f>
        <v>Nybolig Hirtshals</v>
      </c>
      <c r="C52" s="2">
        <f ca="1">IFERROR(__xludf.DUMMYFUNCTION("""COMPUTED_VALUE"""),32808700)</f>
        <v>32808700</v>
      </c>
      <c r="D52" s="2" t="str">
        <f ca="1">IFERROR(__xludf.DUMMYFUNCTION("""COMPUTED_VALUE"""),"MG-JY: 2.499,-")</f>
        <v>MG-JY: 2.499,-</v>
      </c>
      <c r="E52" s="2">
        <f ca="1">IFERROR(__xludf.DUMMYFUNCTION("""COMPUTED_VALUE"""),1201)</f>
        <v>1201</v>
      </c>
      <c r="F52" s="2" t="str">
        <f ca="1">IFERROR(__xludf.DUMMYFUNCTION("""COMPUTED_VALUE"""),"Anders Hansen")</f>
        <v>Anders Hansen</v>
      </c>
      <c r="G52" s="27" t="str">
        <f ca="1">IFERROR(__xludf.DUMMYFUNCTION("""COMPUTED_VALUE"""),"aha@nybolig.dk")</f>
        <v>aha@nybolig.dk</v>
      </c>
      <c r="H52" s="2"/>
      <c r="I52" s="2" t="str">
        <f ca="1">IFERROR(__xludf.DUMMYFUNCTION("""COMPUTED_VALUE"""),"Jyllandsgade 8")</f>
        <v>Jyllandsgade 8</v>
      </c>
      <c r="J52" s="2">
        <f ca="1">IFERROR(__xludf.DUMMYFUNCTION("""COMPUTED_VALUE"""),9850)</f>
        <v>9850</v>
      </c>
      <c r="K52" s="2" t="str">
        <f ca="1">IFERROR(__xludf.DUMMYFUNCTION("""COMPUTED_VALUE"""),"Hirtshals")</f>
        <v>Hirtshals</v>
      </c>
      <c r="L52" s="2" t="str">
        <f ca="1">IFERROR(__xludf.DUMMYFUNCTION("""COMPUTED_VALUE"""),"Hjørring")</f>
        <v>Hjørring</v>
      </c>
      <c r="M52" s="2" t="str">
        <f ca="1">IFERROR(__xludf.DUMMYFUNCTION("""COMPUTED_VALUE"""),"Nordjylland")</f>
        <v>Nordjylland</v>
      </c>
      <c r="N52" s="2" t="str">
        <f ca="1">IFERROR(__xludf.DUMMYFUNCTION("""COMPUTED_VALUE"""),"Nordjylland")</f>
        <v>Nordjylland</v>
      </c>
      <c r="O52" s="2" t="str">
        <f ca="1">IFERROR(__xludf.DUMMYFUNCTION("""COMPUTED_VALUE"""),"9894 4706")</f>
        <v>9894 4706</v>
      </c>
      <c r="P52" s="2" t="str">
        <f ca="1">IFERROR(__xludf.DUMMYFUNCTION("""COMPUTED_VALUE"""),"9850@nybolig.dk")</f>
        <v>9850@nybolig.dk</v>
      </c>
      <c r="Q52" s="27" t="str">
        <f ca="1">IFERROR(__xludf.DUMMYFUNCTION("""COMPUTED_VALUE"""),"https://www.boliga.dk/maegler/438")</f>
        <v>https://www.boliga.dk/maegler/438</v>
      </c>
      <c r="R52" s="2" t="str">
        <f ca="1">IFERROR(__xludf.DUMMYFUNCTION("""COMPUTED_VALUE"""),"-")</f>
        <v>-</v>
      </c>
      <c r="S52" s="2" t="str">
        <f ca="1">IFERROR(__xludf.DUMMYFUNCTION("""COMPUTED_VALUE"""),"-")</f>
        <v>-</v>
      </c>
      <c r="T52" s="2" t="str">
        <f ca="1">IFERROR(__xludf.DUMMYFUNCTION("""COMPUTED_VALUE"""),"-")</f>
        <v>-</v>
      </c>
      <c r="U52" s="2">
        <f ca="1">IFERROR(__xludf.DUMMYFUNCTION("""COMPUTED_VALUE"""),49)</f>
        <v>49</v>
      </c>
      <c r="V52" s="2" t="str">
        <f ca="1">IFERROR(__xludf.DUMMYFUNCTION("""COMPUTED_VALUE"""),"9881, 9850")</f>
        <v>9881, 9850</v>
      </c>
      <c r="W52" s="2">
        <f ca="1">IFERROR(__xludf.DUMMYFUNCTION("""COMPUTED_VALUE"""),27)</f>
        <v>27</v>
      </c>
      <c r="X52" s="2" t="str">
        <f ca="1">IFERROR(__xludf.DUMMYFUNCTION("""COMPUTED_VALUE"""),"9800, 9881, 9850")</f>
        <v>9800, 9881, 9850</v>
      </c>
      <c r="Y52" s="2" t="str">
        <f ca="1">IFERROR(__xludf.DUMMYFUNCTION("""COMPUTED_VALUE"""),"ja")</f>
        <v>ja</v>
      </c>
      <c r="Z52" s="2" t="str">
        <f ca="1">IFERROR(__xludf.DUMMYFUNCTION("""COMPUTED_VALUE"""),"sendt materiale til anders, de har fået 29 sager ind de sidste 2 måneder - konkurrent 2, men han er ikke afvisende")</f>
        <v>sendt materiale til anders, de har fået 29 sager ind de sidste 2 måneder - konkurrent 2, men han er ikke afvisende</v>
      </c>
      <c r="AA52" s="2"/>
      <c r="AB52" s="2" t="str">
        <f ca="1">IFERROR(__xludf.DUMMYFUNCTION("""COMPUTED_VALUE"""),"x")</f>
        <v>x</v>
      </c>
      <c r="AC52" s="2"/>
    </row>
    <row r="53" spans="1:29" ht="12.45">
      <c r="A53" s="2" t="str">
        <f ca="1">IFERROR(__xludf.DUMMYFUNCTION("""COMPUTED_VALUE"""),"Christian")</f>
        <v>Christian</v>
      </c>
      <c r="B53" s="2" t="str">
        <f ca="1">IFERROR(__xludf.DUMMYFUNCTION("""COMPUTED_VALUE"""),"Nybolig i Carlsberg Byen – København V")</f>
        <v>Nybolig i Carlsberg Byen – København V</v>
      </c>
      <c r="C53" s="2">
        <f ca="1">IFERROR(__xludf.DUMMYFUNCTION("""COMPUTED_VALUE"""),43156284)</f>
        <v>43156284</v>
      </c>
      <c r="D53" s="2" t="str">
        <f ca="1">IFERROR(__xludf.DUMMYFUNCTION("""COMPUTED_VALUE"""),"MG-SJ: 3.499,-")</f>
        <v>MG-SJ: 3.499,-</v>
      </c>
      <c r="E53" s="2"/>
      <c r="F53" s="2" t="str">
        <f ca="1">IFERROR(__xludf.DUMMYFUNCTION("""COMPUTED_VALUE"""),"Kennie Simonsen")</f>
        <v>Kennie Simonsen</v>
      </c>
      <c r="G53" s="2" t="str">
        <f ca="1">IFERROR(__xludf.DUMMYFUNCTION("""COMPUTED_VALUE"""),"ks@nybolig.dk")</f>
        <v>ks@nybolig.dk</v>
      </c>
      <c r="H53" s="2"/>
      <c r="I53" s="2" t="str">
        <f ca="1">IFERROR(__xludf.DUMMYFUNCTION("""COMPUTED_VALUE"""),"Bag Elefanterne 7")</f>
        <v>Bag Elefanterne 7</v>
      </c>
      <c r="J53" s="2">
        <f ca="1">IFERROR(__xludf.DUMMYFUNCTION("""COMPUTED_VALUE"""),1799)</f>
        <v>1799</v>
      </c>
      <c r="K53" s="2" t="str">
        <f ca="1">IFERROR(__xludf.DUMMYFUNCTION("""COMPUTED_VALUE"""),"Kbh. V")</f>
        <v>Kbh. V</v>
      </c>
      <c r="L53" s="2" t="str">
        <f ca="1">IFERROR(__xludf.DUMMYFUNCTION("""COMPUTED_VALUE"""),"København")</f>
        <v>København</v>
      </c>
      <c r="M53" s="2" t="str">
        <f ca="1">IFERROR(__xludf.DUMMYFUNCTION("""COMPUTED_VALUE"""),"Hovedstaden")</f>
        <v>Hovedstaden</v>
      </c>
      <c r="N53" s="2" t="str">
        <f ca="1">IFERROR(__xludf.DUMMYFUNCTION("""COMPUTED_VALUE"""),"Hovedstaden")</f>
        <v>Hovedstaden</v>
      </c>
      <c r="O53" s="2">
        <f ca="1">IFERROR(__xludf.DUMMYFUNCTION("""COMPUTED_VALUE"""),33211799)</f>
        <v>33211799</v>
      </c>
      <c r="P53" s="27" t="str">
        <f ca="1">IFERROR(__xludf.DUMMYFUNCTION("""COMPUTED_VALUE"""),"1799@nybolig.dk")</f>
        <v>1799@nybolig.dk</v>
      </c>
      <c r="Q53" s="27" t="str">
        <f ca="1">IFERROR(__xludf.DUMMYFUNCTION("""COMPUTED_VALUE"""),"https://www.boliga.dk/maegler/29123")</f>
        <v>https://www.boliga.dk/maegler/29123</v>
      </c>
      <c r="R53" s="2"/>
      <c r="S53" s="2"/>
      <c r="T53" s="2"/>
      <c r="U53" s="2"/>
      <c r="V53" s="2"/>
      <c r="W53" s="2"/>
      <c r="X53" s="2"/>
      <c r="Y53" s="2" t="str">
        <f ca="1">IFERROR(__xludf.DUMMYFUNCTION("""COMPUTED_VALUE"""),"ja")</f>
        <v>ja</v>
      </c>
      <c r="Z53" s="2"/>
      <c r="AA53" s="2"/>
      <c r="AB53" s="2" t="str">
        <f ca="1">IFERROR(__xludf.DUMMYFUNCTION("""COMPUTED_VALUE"""),"x")</f>
        <v>x</v>
      </c>
      <c r="AC53" s="2" t="str">
        <f ca="1">IFERROR(__xludf.DUMMYFUNCTION("""COMPUTED_VALUE"""),"x")</f>
        <v>x</v>
      </c>
    </row>
    <row r="54" spans="1:29" ht="12.45">
      <c r="A54" s="2" t="str">
        <f ca="1">IFERROR(__xludf.DUMMYFUNCTION("""COMPUTED_VALUE"""),"Christian")</f>
        <v>Christian</v>
      </c>
      <c r="B54" s="2" t="str">
        <f ca="1">IFERROR(__xludf.DUMMYFUNCTION("""COMPUTED_VALUE"""),"Nybolig Amager - Holmbladsgade")</f>
        <v>Nybolig Amager - Holmbladsgade</v>
      </c>
      <c r="C54" s="2">
        <f ca="1">IFERROR(__xludf.DUMMYFUNCTION("""COMPUTED_VALUE"""),43171585)</f>
        <v>43171585</v>
      </c>
      <c r="D54" s="2" t="str">
        <f ca="1">IFERROR(__xludf.DUMMYFUNCTION("""COMPUTED_VALUE"""),"MG-SJ: 3.499,-")</f>
        <v>MG-SJ: 3.499,-</v>
      </c>
      <c r="E54" s="2">
        <f ca="1">IFERROR(__xludf.DUMMYFUNCTION("""COMPUTED_VALUE"""),1202)</f>
        <v>1202</v>
      </c>
      <c r="F54" s="2" t="str">
        <f ca="1">IFERROR(__xludf.DUMMYFUNCTION("""COMPUTED_VALUE"""),"Leutrim Rusiti")</f>
        <v>Leutrim Rusiti</v>
      </c>
      <c r="G54" s="2" t="str">
        <f ca="1">IFERROR(__xludf.DUMMYFUNCTION("""COMPUTED_VALUE"""),"ru1@nybolig.dk")</f>
        <v>ru1@nybolig.dk</v>
      </c>
      <c r="H54" s="2">
        <f ca="1">IFERROR(__xludf.DUMMYFUNCTION("""COMPUTED_VALUE"""),31642000)</f>
        <v>31642000</v>
      </c>
      <c r="I54" s="2" t="str">
        <f ca="1">IFERROR(__xludf.DUMMYFUNCTION("""COMPUTED_VALUE"""),"Holmbladsgade 20")</f>
        <v>Holmbladsgade 20</v>
      </c>
      <c r="J54" s="2">
        <f ca="1">IFERROR(__xludf.DUMMYFUNCTION("""COMPUTED_VALUE"""),2300)</f>
        <v>2300</v>
      </c>
      <c r="K54" s="2"/>
      <c r="L54" s="2"/>
      <c r="M54" s="2"/>
      <c r="N54" s="2"/>
      <c r="O54" s="2">
        <f ca="1">IFERROR(__xludf.DUMMYFUNCTION("""COMPUTED_VALUE"""),70602700)</f>
        <v>70602700</v>
      </c>
      <c r="P54" s="2" t="str">
        <f ca="1">IFERROR(__xludf.DUMMYFUNCTION("""COMPUTED_VALUE"""),"2304@nybolig.dk")</f>
        <v>2304@nybolig.dk</v>
      </c>
      <c r="Q54" s="27" t="str">
        <f ca="1">IFERROR(__xludf.DUMMYFUNCTION("""COMPUTED_VALUE"""),"https://www.boliga.dk/maegler/29141")</f>
        <v>https://www.boliga.dk/maegler/29141</v>
      </c>
      <c r="R54" s="2"/>
      <c r="S54" s="2"/>
      <c r="T54" s="2"/>
      <c r="U54" s="2"/>
      <c r="V54" s="2"/>
      <c r="W54" s="2"/>
      <c r="X54" s="2"/>
      <c r="Y54" s="2" t="str">
        <f ca="1">IFERROR(__xludf.DUMMYFUNCTION("""COMPUTED_VALUE"""),"ja")</f>
        <v>ja</v>
      </c>
      <c r="Z54" s="2"/>
      <c r="AA54" s="2"/>
      <c r="AB54" s="2" t="str">
        <f ca="1">IFERROR(__xludf.DUMMYFUNCTION("""COMPUTED_VALUE"""),"x")</f>
        <v>x</v>
      </c>
      <c r="AC54" s="2" t="str">
        <f ca="1">IFERROR(__xludf.DUMMYFUNCTION("""COMPUTED_VALUE"""),"x")</f>
        <v>x</v>
      </c>
    </row>
  </sheetData>
  <autoFilter ref="B1:AF2" xr:uid="{00000000-0009-0000-0000-000007000000}"/>
  <hyperlinks>
    <hyperlink ref="Q2" r:id="rId1" display="https://www.boliga.dk/maegler/17489" xr:uid="{00000000-0004-0000-0700-000000000000}"/>
    <hyperlink ref="Q3" r:id="rId2" display="https://www.boliga.dk/maegler/492" xr:uid="{00000000-0004-0000-0700-000001000000}"/>
    <hyperlink ref="Q4" r:id="rId3" display="https://www.boliga.dk/maegler/17487" xr:uid="{00000000-0004-0000-0700-000002000000}"/>
    <hyperlink ref="Q5" r:id="rId4" display="https://www.boliga.dk/maegler/547" xr:uid="{00000000-0004-0000-0700-000003000000}"/>
    <hyperlink ref="Q6" r:id="rId5" display="https://www.boliga.dk/maegler/432" xr:uid="{00000000-0004-0000-0700-000004000000}"/>
    <hyperlink ref="Q7" r:id="rId6" display="https://www.boliga.dk/maegler/1017" xr:uid="{00000000-0004-0000-0700-000005000000}"/>
    <hyperlink ref="Q8" r:id="rId7" display="https://www.boliga.dk/maegler/21845" xr:uid="{00000000-0004-0000-0700-000006000000}"/>
    <hyperlink ref="Q9" r:id="rId8" display="https://www.boliga.dk/maegler/856" xr:uid="{00000000-0004-0000-0700-000007000000}"/>
    <hyperlink ref="Q10" r:id="rId9" display="https://www.boliga.dk/maegler/772" xr:uid="{00000000-0004-0000-0700-000008000000}"/>
    <hyperlink ref="Q11" r:id="rId10" display="https://www.boliga.dk/maegler/948" xr:uid="{00000000-0004-0000-0700-000009000000}"/>
    <hyperlink ref="Q12" r:id="rId11" display="https://www.boliga.dk/maegler/19356" xr:uid="{00000000-0004-0000-0700-00000A000000}"/>
    <hyperlink ref="Q13" r:id="rId12" display="https://www.boliga.dk/maegler/603" xr:uid="{00000000-0004-0000-0700-00000B000000}"/>
    <hyperlink ref="Q14" r:id="rId13" display="https://www.boliga.dk/maegler/21550" xr:uid="{00000000-0004-0000-0700-00000C000000}"/>
    <hyperlink ref="Q15" r:id="rId14" display="https://www.boliga.dk/maegler/247" xr:uid="{00000000-0004-0000-0700-00000D000000}"/>
    <hyperlink ref="Q16" r:id="rId15" display="https://www.boliga.dk/maegler/26369" xr:uid="{00000000-0004-0000-0700-00000E000000}"/>
    <hyperlink ref="Q17" r:id="rId16" display="https://www.boliga.dk/maegler/246" xr:uid="{00000000-0004-0000-0700-00000F000000}"/>
    <hyperlink ref="Q18" r:id="rId17" display="https://www.boliga.dk/maegler/724" xr:uid="{00000000-0004-0000-0700-000010000000}"/>
    <hyperlink ref="Q19" r:id="rId18" display="https://www.boliga.dk/maegler/747" xr:uid="{00000000-0004-0000-0700-000011000000}"/>
    <hyperlink ref="Q20" r:id="rId19" display="https://www.boliga.dk/maegler/47" xr:uid="{00000000-0004-0000-0700-000012000000}"/>
    <hyperlink ref="Q21" r:id="rId20" display="https://www.boliga.dk/maegler/713" xr:uid="{00000000-0004-0000-0700-000013000000}"/>
    <hyperlink ref="Q22" r:id="rId21" display="https://www.boliga.dk/maegler/17488" xr:uid="{00000000-0004-0000-0700-000014000000}"/>
    <hyperlink ref="Q23" r:id="rId22" display="https://www.boliga.dk/maegler/102" xr:uid="{00000000-0004-0000-0700-000015000000}"/>
    <hyperlink ref="Q24" r:id="rId23" display="https://www.boliga.dk/maegler/154" xr:uid="{00000000-0004-0000-0700-000016000000}"/>
    <hyperlink ref="Q25" r:id="rId24" display="https://www.boliga.dk/maegler/313" xr:uid="{00000000-0004-0000-0700-000017000000}"/>
    <hyperlink ref="Q26" r:id="rId25" display="https://www.boliga.dk/maegler/558" xr:uid="{00000000-0004-0000-0700-000018000000}"/>
    <hyperlink ref="Q27" r:id="rId26" display="https://www.boliga.dk/maegler/17514" xr:uid="{00000000-0004-0000-0700-000019000000}"/>
    <hyperlink ref="Q28" r:id="rId27" display="https://www.boliga.dk/maegler/732" xr:uid="{00000000-0004-0000-0700-00001A000000}"/>
    <hyperlink ref="Q29" r:id="rId28" display="https://www.boliga.dk/maegler/834" xr:uid="{00000000-0004-0000-0700-00001B000000}"/>
    <hyperlink ref="Q30" r:id="rId29" display="https://www.boliga.dk/maegler/368" xr:uid="{00000000-0004-0000-0700-00001C000000}"/>
    <hyperlink ref="Q31" r:id="rId30" display="https://www.boliga.dk/maegler/488" xr:uid="{00000000-0004-0000-0700-00001D000000}"/>
    <hyperlink ref="Q32" r:id="rId31" display="https://www.boliga.dk/maegler/660" xr:uid="{00000000-0004-0000-0700-00001E000000}"/>
    <hyperlink ref="Q33" r:id="rId32" display="https://www.boliga.dk/maegler/25521" xr:uid="{00000000-0004-0000-0700-00001F000000}"/>
    <hyperlink ref="Q34" r:id="rId33" display="https://www.boliga.dk/maegler/23473" xr:uid="{00000000-0004-0000-0700-000020000000}"/>
    <hyperlink ref="Q35" r:id="rId34" display="https://www.boliga.dk/maegler/23511" xr:uid="{00000000-0004-0000-0700-000021000000}"/>
    <hyperlink ref="Q36" r:id="rId35" display="https://www.boliga.dk/maegler/20780" xr:uid="{00000000-0004-0000-0700-000022000000}"/>
    <hyperlink ref="Q37" r:id="rId36" display="https://www.boliga.dk/maegler/29025" xr:uid="{00000000-0004-0000-0700-000023000000}"/>
    <hyperlink ref="Q38" r:id="rId37" display="https://www.boliga.dk/maegler/413" xr:uid="{00000000-0004-0000-0700-000024000000}"/>
    <hyperlink ref="Q39" r:id="rId38" display="https://www.boliga.dk/maegler/680" xr:uid="{00000000-0004-0000-0700-000025000000}"/>
    <hyperlink ref="Q40" r:id="rId39" display="https://www.boliga.dk/maegler/397" xr:uid="{00000000-0004-0000-0700-000026000000}"/>
    <hyperlink ref="Q41" r:id="rId40" display="https://www.boliga.dk/maegler/701" xr:uid="{00000000-0004-0000-0700-000027000000}"/>
    <hyperlink ref="Q42" r:id="rId41" display="https://www.boliga.dk/maegler/570" xr:uid="{00000000-0004-0000-0700-000028000000}"/>
    <hyperlink ref="Q43" r:id="rId42" display="https://www.boliga.dk/maegler/894" xr:uid="{00000000-0004-0000-0700-000029000000}"/>
    <hyperlink ref="Q44" r:id="rId43" display="https://www.boliga.dk/maegler/108" xr:uid="{00000000-0004-0000-0700-00002A000000}"/>
    <hyperlink ref="Q45" r:id="rId44" display="https://www.boliga.dk/maegler/965" xr:uid="{00000000-0004-0000-0700-00002B000000}"/>
    <hyperlink ref="Q46" r:id="rId45" display="https://www.boliga.dk/maegler/17486" xr:uid="{00000000-0004-0000-0700-00002C000000}"/>
    <hyperlink ref="Q47" r:id="rId46" display="https://www.boliga.dk/maegler/901" xr:uid="{00000000-0004-0000-0700-00002D000000}"/>
    <hyperlink ref="Q48" r:id="rId47" display="https://www.boliga.dk/maegler/18044" xr:uid="{00000000-0004-0000-0700-00002E000000}"/>
    <hyperlink ref="Q49" r:id="rId48" display="https://www.boliga.dk/maegler/786" xr:uid="{00000000-0004-0000-0700-00002F000000}"/>
    <hyperlink ref="Q50" r:id="rId49" display="https://www.boliga.dk/maegler/29096" xr:uid="{00000000-0004-0000-0700-000030000000}"/>
    <hyperlink ref="Q51" r:id="rId50" display="https://www.boliga.dk/maegler/1025" xr:uid="{00000000-0004-0000-0700-000031000000}"/>
    <hyperlink ref="G52" r:id="rId51" display="mailto:aha@nybolig.dk" xr:uid="{00000000-0004-0000-0700-000032000000}"/>
    <hyperlink ref="Q52" r:id="rId52" display="https://www.boliga.dk/maegler/438" xr:uid="{00000000-0004-0000-0700-000033000000}"/>
    <hyperlink ref="P53" r:id="rId53" display="mailto:1799@nybolig.dk" xr:uid="{00000000-0004-0000-0700-000034000000}"/>
    <hyperlink ref="Q53" r:id="rId54" display="https://www.boliga.dk/maegler/29123" xr:uid="{00000000-0004-0000-0700-000035000000}"/>
    <hyperlink ref="Q54" r:id="rId55" display="https://www.boliga.dk/maegler/29141" xr:uid="{00000000-0004-0000-0700-00003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TOTAL-Krahn</vt:lpstr>
      <vt:lpstr>lukkede aftaler PM</vt:lpstr>
      <vt:lpstr>lukkede aftaler mæglere</vt:lpstr>
      <vt:lpstr>lukkede aftaler Nybolig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Ann-Louise Teller</dc:creator>
  <cp:lastModifiedBy>Ann-Louise Teller</cp:lastModifiedBy>
  <dcterms:created xsi:type="dcterms:W3CDTF">2022-08-16T07:14:05Z</dcterms:created>
  <dcterms:modified xsi:type="dcterms:W3CDTF">2022-08-16T07:16:07Z</dcterms:modified>
</cp:coreProperties>
</file>